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854DA4F-1774-415B-BCAB-86E98F94ECC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2" sheetId="2" state="hidden" r:id="rId1"/>
    <sheet name="gaviones" sheetId="6" r:id="rId2"/>
  </sheets>
  <definedNames>
    <definedName name="_xlnm.Print_Area" localSheetId="1">gaviones!$A$1:$AD$257</definedName>
    <definedName name="B" localSheetId="1">gaviones!$Z$23</definedName>
    <definedName name="B">#REF!</definedName>
    <definedName name="beta" localSheetId="1">gaviones!$N$8</definedName>
    <definedName name="beta">#REF!</definedName>
    <definedName name="fi" localSheetId="1">gaviones!$N$7</definedName>
    <definedName name="fi">#REF!</definedName>
    <definedName name="Ht" localSheetId="1">gaviones!$Z$18</definedName>
    <definedName name="Ht">#REF!</definedName>
    <definedName name="Ka" localSheetId="1">gaviones!$D$38</definedName>
    <definedName name="Ka">#REF!</definedName>
    <definedName name="Proca" localSheetId="1">gaviones!$N$6</definedName>
    <definedName name="Proca">#REF!</definedName>
    <definedName name="Psuelo" localSheetId="1">gaviones!$N$5</definedName>
    <definedName name="Psuelo">#REF!</definedName>
    <definedName name="Qadm" localSheetId="1">gaviones!$N$9</definedName>
    <definedName name="Qadm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6" l="1"/>
  <c r="I56" i="6"/>
  <c r="P56" i="6"/>
  <c r="T56" i="6"/>
  <c r="X56" i="6"/>
  <c r="L57" i="6"/>
  <c r="I57" i="6"/>
  <c r="P57" i="6"/>
  <c r="T57" i="6"/>
  <c r="X57" i="6"/>
  <c r="L58" i="6"/>
  <c r="I58" i="6"/>
  <c r="P58" i="6"/>
  <c r="T58" i="6"/>
  <c r="X58" i="6"/>
  <c r="L59" i="6"/>
  <c r="I59" i="6"/>
  <c r="P59" i="6"/>
  <c r="T59" i="6"/>
  <c r="X59" i="6"/>
  <c r="L60" i="6"/>
  <c r="I60" i="6"/>
  <c r="P60" i="6"/>
  <c r="T60" i="6"/>
  <c r="X60" i="6"/>
  <c r="L61" i="6"/>
  <c r="I61" i="6"/>
  <c r="P61" i="6"/>
  <c r="T61" i="6"/>
  <c r="X61" i="6"/>
  <c r="L62" i="6"/>
  <c r="I62" i="6"/>
  <c r="P62" i="6"/>
  <c r="T62" i="6"/>
  <c r="X62" i="6"/>
  <c r="L63" i="6"/>
  <c r="I63" i="6"/>
  <c r="P63" i="6"/>
  <c r="T63" i="6"/>
  <c r="X63" i="6"/>
  <c r="L64" i="6"/>
  <c r="I64" i="6"/>
  <c r="P64" i="6"/>
  <c r="T64" i="6"/>
  <c r="X64" i="6"/>
  <c r="X65" i="6"/>
  <c r="W67" i="6"/>
  <c r="D38" i="6"/>
  <c r="E44" i="6"/>
  <c r="E73" i="6"/>
  <c r="F48" i="6"/>
  <c r="H73" i="6"/>
  <c r="E75" i="6"/>
  <c r="P65" i="6"/>
  <c r="O67" i="6"/>
  <c r="H95" i="6"/>
  <c r="E4" i="2"/>
  <c r="H21" i="2"/>
  <c r="H22" i="2"/>
  <c r="J99" i="6"/>
  <c r="H108" i="6"/>
  <c r="D24" i="2"/>
  <c r="H110" i="6"/>
  <c r="D23" i="2"/>
  <c r="C22" i="2"/>
  <c r="D25" i="2"/>
  <c r="C23" i="2"/>
  <c r="D22" i="2"/>
  <c r="E8" i="2"/>
  <c r="M9" i="2"/>
  <c r="M6" i="2"/>
  <c r="M11" i="2"/>
  <c r="N6" i="2"/>
  <c r="J228" i="6"/>
  <c r="J232" i="6"/>
  <c r="M237" i="6"/>
  <c r="O241" i="6"/>
  <c r="AB243" i="6"/>
  <c r="Y245" i="6"/>
  <c r="C226" i="6"/>
  <c r="R226" i="6"/>
  <c r="T226" i="6"/>
  <c r="V226" i="6"/>
  <c r="Z226" i="6"/>
  <c r="S234" i="6"/>
  <c r="J246" i="6"/>
  <c r="H226" i="6"/>
  <c r="V234" i="6"/>
  <c r="Z234" i="6"/>
  <c r="R227" i="6"/>
  <c r="T227" i="6"/>
  <c r="V227" i="6"/>
  <c r="Z227" i="6"/>
  <c r="S235" i="6"/>
  <c r="C246" i="6"/>
  <c r="V235" i="6"/>
  <c r="Z235" i="6"/>
  <c r="R228" i="6"/>
  <c r="K226" i="6"/>
  <c r="T228" i="6"/>
  <c r="V228" i="6"/>
  <c r="Z228" i="6"/>
  <c r="S236" i="6"/>
  <c r="V236" i="6"/>
  <c r="Z236" i="6"/>
  <c r="R229" i="6"/>
  <c r="T229" i="6"/>
  <c r="V229" i="6"/>
  <c r="Z229" i="6"/>
  <c r="S237" i="6"/>
  <c r="V237" i="6"/>
  <c r="Z237" i="6"/>
  <c r="R230" i="6"/>
  <c r="T230" i="6"/>
  <c r="V230" i="6"/>
  <c r="Z230" i="6"/>
  <c r="S238" i="6"/>
  <c r="V238" i="6"/>
  <c r="Z238" i="6"/>
  <c r="R231" i="6"/>
  <c r="T231" i="6"/>
  <c r="V231" i="6"/>
  <c r="Z231" i="6"/>
  <c r="S239" i="6"/>
  <c r="V239" i="6"/>
  <c r="Z239" i="6"/>
  <c r="Z240" i="6"/>
  <c r="Z232" i="6"/>
  <c r="C213" i="6"/>
  <c r="H213" i="6"/>
  <c r="M209" i="6"/>
  <c r="K198" i="6"/>
  <c r="V256" i="6"/>
  <c r="Y256" i="6"/>
  <c r="X256" i="6"/>
  <c r="AA256" i="6"/>
  <c r="F256" i="6"/>
  <c r="I256" i="6"/>
  <c r="H256" i="6"/>
  <c r="K256" i="6"/>
  <c r="J200" i="6"/>
  <c r="J204" i="6"/>
  <c r="Z209" i="6"/>
  <c r="W211" i="6"/>
  <c r="H198" i="6"/>
  <c r="C198" i="6"/>
  <c r="V204" i="6"/>
  <c r="R199" i="6"/>
  <c r="T199" i="6"/>
  <c r="V199" i="6"/>
  <c r="Z199" i="6"/>
  <c r="S204" i="6"/>
  <c r="Z204" i="6"/>
  <c r="T200" i="6"/>
  <c r="R200" i="6"/>
  <c r="V200" i="6"/>
  <c r="Z200" i="6"/>
  <c r="S205" i="6"/>
  <c r="V205" i="6"/>
  <c r="Z205" i="6"/>
  <c r="T201" i="6"/>
  <c r="R201" i="6"/>
  <c r="V201" i="6"/>
  <c r="Z201" i="6"/>
  <c r="S206" i="6"/>
  <c r="V206" i="6"/>
  <c r="Z206" i="6"/>
  <c r="V203" i="6"/>
  <c r="R198" i="6"/>
  <c r="T198" i="6"/>
  <c r="V198" i="6"/>
  <c r="Z198" i="6"/>
  <c r="S203" i="6"/>
  <c r="Z203" i="6"/>
  <c r="Z207" i="6"/>
  <c r="V222" i="6"/>
  <c r="Z202" i="6"/>
  <c r="F222" i="6"/>
  <c r="I222" i="6"/>
  <c r="H222" i="6"/>
  <c r="K222" i="6"/>
  <c r="Y222" i="6"/>
  <c r="X222" i="6"/>
  <c r="AA222" i="6"/>
  <c r="C184" i="6"/>
  <c r="J179" i="6"/>
  <c r="J175" i="6"/>
  <c r="H173" i="6"/>
  <c r="C173" i="6"/>
  <c r="V179" i="6"/>
  <c r="R174" i="6"/>
  <c r="T174" i="6"/>
  <c r="V174" i="6"/>
  <c r="Z174" i="6"/>
  <c r="S178" i="6"/>
  <c r="V178" i="6"/>
  <c r="Z178" i="6"/>
  <c r="H153" i="6"/>
  <c r="X158" i="6"/>
  <c r="U160" i="6"/>
  <c r="C151" i="6"/>
  <c r="R175" i="6"/>
  <c r="T175" i="6"/>
  <c r="V175" i="6"/>
  <c r="Z175" i="6"/>
  <c r="S179" i="6"/>
  <c r="Z179" i="6"/>
  <c r="Z180" i="6"/>
  <c r="Z183" i="6"/>
  <c r="W185" i="6"/>
  <c r="V191" i="6"/>
  <c r="Y191" i="6"/>
  <c r="X191" i="6"/>
  <c r="AA191" i="6"/>
  <c r="Z176" i="6"/>
  <c r="F191" i="6"/>
  <c r="I191" i="6"/>
  <c r="H191" i="6"/>
  <c r="K191" i="6"/>
  <c r="P152" i="6"/>
  <c r="R152" i="6"/>
  <c r="T152" i="6"/>
  <c r="X152" i="6"/>
  <c r="Q154" i="6"/>
  <c r="E159" i="6"/>
  <c r="T154" i="6"/>
  <c r="W154" i="6"/>
  <c r="V166" i="6"/>
  <c r="Y166" i="6"/>
  <c r="X166" i="6"/>
  <c r="AA166" i="6"/>
  <c r="F166" i="6"/>
  <c r="I166" i="6"/>
  <c r="H166" i="6"/>
  <c r="K166" i="6"/>
  <c r="O110" i="6"/>
  <c r="L110" i="6"/>
  <c r="T110" i="6"/>
  <c r="O108" i="6"/>
  <c r="L108" i="6"/>
  <c r="T108" i="6"/>
  <c r="L102" i="6"/>
  <c r="P102" i="6"/>
  <c r="F89" i="6"/>
  <c r="I89" i="6"/>
  <c r="H89" i="6"/>
  <c r="L89" i="6"/>
  <c r="F82" i="6"/>
  <c r="I82" i="6"/>
  <c r="H82" i="6"/>
  <c r="L82" i="6"/>
  <c r="Z22" i="6"/>
  <c r="I10" i="2"/>
  <c r="I11" i="2"/>
  <c r="F10" i="2"/>
  <c r="I8" i="2"/>
  <c r="I9" i="2"/>
  <c r="I6" i="2"/>
  <c r="I7" i="2"/>
  <c r="J7" i="2"/>
  <c r="J8" i="2"/>
  <c r="J5" i="2"/>
  <c r="J6" i="2"/>
  <c r="J9" i="2"/>
  <c r="J10" i="2"/>
  <c r="D16" i="2"/>
  <c r="D13" i="2"/>
  <c r="B8" i="2"/>
  <c r="C13" i="2"/>
  <c r="C14" i="2"/>
  <c r="H16" i="2"/>
  <c r="H17" i="2"/>
  <c r="B4" i="2"/>
  <c r="D14" i="2"/>
  <c r="D15" i="2"/>
</calcChain>
</file>

<file path=xl/sharedStrings.xml><?xml version="1.0" encoding="utf-8"?>
<sst xmlns="http://schemas.openxmlformats.org/spreadsheetml/2006/main" count="259" uniqueCount="110">
  <si>
    <t>-</t>
  </si>
  <si>
    <t>Peso del terreno</t>
  </si>
  <si>
    <t>:</t>
  </si>
  <si>
    <t>Ángulo de fricción</t>
  </si>
  <si>
    <t>Ø =</t>
  </si>
  <si>
    <t>Capacidad portante</t>
  </si>
  <si>
    <t>Resultante</t>
  </si>
  <si>
    <t>Para graficar muro:</t>
  </si>
  <si>
    <t>X</t>
  </si>
  <si>
    <t>Y</t>
  </si>
  <si>
    <t>P</t>
  </si>
  <si>
    <t>Centro geométrico</t>
  </si>
  <si>
    <t>Presiones:</t>
  </si>
  <si>
    <t>B/6</t>
  </si>
  <si>
    <t>FIG.</t>
  </si>
  <si>
    <t>PESO UNITARIO</t>
  </si>
  <si>
    <t>PESO PARCIAL</t>
  </si>
  <si>
    <t>BRAZO  X       (m)</t>
  </si>
  <si>
    <t>MOMENTO     (tn-m)</t>
  </si>
  <si>
    <t>P =</t>
  </si>
  <si>
    <t>Ka =</t>
  </si>
  <si>
    <t>FSD =</t>
  </si>
  <si>
    <t>FSV =</t>
  </si>
  <si>
    <t>Punto de aplicación de la fuerza resultante:</t>
  </si>
  <si>
    <t>Excentricidad de la fuerza resultante:</t>
  </si>
  <si>
    <t>e =</t>
  </si>
  <si>
    <t>Verificamos las presiones de contacto entre el suelo y el muro:</t>
  </si>
  <si>
    <t>;</t>
  </si>
  <si>
    <t>Σ =</t>
  </si>
  <si>
    <t>Peso de la piedra</t>
  </si>
  <si>
    <t>Ángulo que forma el relleno</t>
  </si>
  <si>
    <t>Altura de cada bloque</t>
  </si>
  <si>
    <t>Altura total del muro</t>
  </si>
  <si>
    <t>Coeficiente de empuje activo:</t>
  </si>
  <si>
    <t>Altura de aplicación del empuje activo:</t>
  </si>
  <si>
    <t>Cálculo del empuje activo:</t>
  </si>
  <si>
    <t>donde:</t>
  </si>
  <si>
    <t xml:space="preserve">  Se debe cumplir que:</t>
  </si>
  <si>
    <t>β =</t>
  </si>
  <si>
    <r>
      <t>A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 =</t>
    </r>
  </si>
  <si>
    <r>
      <t>H</t>
    </r>
    <r>
      <rPr>
        <vertAlign val="subscript"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 xml:space="preserve"> =</t>
    </r>
  </si>
  <si>
    <r>
      <rPr>
        <b/>
        <u/>
        <sz val="10"/>
        <color theme="1"/>
        <rFont val="Times New Roman"/>
        <family val="1"/>
      </rPr>
      <t>EMPUJE ACTIVO</t>
    </r>
    <r>
      <rPr>
        <b/>
        <sz val="10"/>
        <color theme="1"/>
        <rFont val="Times New Roman"/>
        <family val="1"/>
      </rPr>
      <t>:</t>
    </r>
  </si>
  <si>
    <r>
      <t>E</t>
    </r>
    <r>
      <rPr>
        <vertAlign val="subscript"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 xml:space="preserve"> =</t>
    </r>
  </si>
  <si>
    <r>
      <rPr>
        <b/>
        <u/>
        <sz val="11"/>
        <rFont val="Times New Roman"/>
        <family val="1"/>
      </rPr>
      <t>ANÁLISIS DE LA ESTABILIDAD</t>
    </r>
    <r>
      <rPr>
        <b/>
        <sz val="11"/>
        <rFont val="Times New Roman"/>
        <family val="1"/>
      </rPr>
      <t>:</t>
    </r>
  </si>
  <si>
    <r>
      <rPr>
        <b/>
        <u/>
        <sz val="10"/>
        <color theme="1"/>
        <rFont val="Times New Roman"/>
        <family val="1"/>
      </rPr>
      <t>CÁLCULO DEL PESO TOTAL Y MOMENTO RESISTENTE</t>
    </r>
    <r>
      <rPr>
        <b/>
        <sz val="10"/>
        <color theme="1"/>
        <rFont val="Times New Roman"/>
        <family val="1"/>
      </rPr>
      <t>:</t>
    </r>
  </si>
  <si>
    <r>
      <t>M</t>
    </r>
    <r>
      <rPr>
        <vertAlign val="subscript"/>
        <sz val="10"/>
        <color theme="1"/>
        <rFont val="Times New Roman"/>
        <family val="1"/>
      </rPr>
      <t>r</t>
    </r>
    <r>
      <rPr>
        <sz val="10"/>
        <color theme="1"/>
        <rFont val="Times New Roman"/>
        <family val="1"/>
      </rPr>
      <t xml:space="preserve"> =</t>
    </r>
  </si>
  <si>
    <r>
      <rPr>
        <b/>
        <u/>
        <sz val="10"/>
        <color theme="1"/>
        <rFont val="Times New Roman"/>
        <family val="1"/>
      </rPr>
      <t>CÁLCULO DE LAS FUERZAS ACTUANTES EN EL MURO DE CONTENCIÓN</t>
    </r>
    <r>
      <rPr>
        <b/>
        <sz val="10"/>
        <color theme="1"/>
        <rFont val="Times New Roman"/>
        <family val="1"/>
      </rPr>
      <t>:</t>
    </r>
  </si>
  <si>
    <r>
      <rPr>
        <i/>
        <u/>
        <sz val="10"/>
        <color theme="1"/>
        <rFont val="Times New Roman"/>
        <family val="1"/>
      </rPr>
      <t>Momento producido por el empuje activo</t>
    </r>
    <r>
      <rPr>
        <i/>
        <sz val="10"/>
        <color theme="1"/>
        <rFont val="Times New Roman"/>
        <family val="1"/>
      </rPr>
      <t>:</t>
    </r>
  </si>
  <si>
    <r>
      <t>M</t>
    </r>
    <r>
      <rPr>
        <vertAlign val="subscript"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 xml:space="preserve"> =</t>
    </r>
  </si>
  <si>
    <r>
      <rPr>
        <b/>
        <u/>
        <sz val="10"/>
        <color theme="1"/>
        <rFont val="Times New Roman"/>
        <family val="1"/>
      </rPr>
      <t>VERIFICACIÓN POR DESLIZAMIENTO</t>
    </r>
    <r>
      <rPr>
        <b/>
        <sz val="10"/>
        <color theme="1"/>
        <rFont val="Times New Roman"/>
        <family val="1"/>
      </rPr>
      <t>:</t>
    </r>
  </si>
  <si>
    <r>
      <rPr>
        <b/>
        <u/>
        <sz val="10"/>
        <color theme="1"/>
        <rFont val="Times New Roman"/>
        <family val="1"/>
      </rPr>
      <t>VERIFICACIÓN POR VOLTEO</t>
    </r>
    <r>
      <rPr>
        <b/>
        <sz val="10"/>
        <color theme="1"/>
        <rFont val="Times New Roman"/>
        <family val="1"/>
      </rPr>
      <t>:</t>
    </r>
  </si>
  <si>
    <r>
      <rPr>
        <b/>
        <u/>
        <sz val="10"/>
        <color theme="1"/>
        <rFont val="Times New Roman"/>
        <family val="1"/>
      </rPr>
      <t>VERIFICACIÓN DE PRESIONES SOBRE EL TERRENO</t>
    </r>
    <r>
      <rPr>
        <b/>
        <sz val="10"/>
        <color theme="1"/>
        <rFont val="Times New Roman"/>
        <family val="1"/>
      </rPr>
      <t>:</t>
    </r>
  </si>
  <si>
    <r>
      <rPr>
        <b/>
        <u/>
        <sz val="10"/>
        <color theme="1"/>
        <rFont val="Times New Roman"/>
        <family val="1"/>
      </rPr>
      <t>ESQUEMA DE PRESIONES</t>
    </r>
    <r>
      <rPr>
        <b/>
        <sz val="10"/>
        <color theme="1"/>
        <rFont val="Times New Roman"/>
        <family val="1"/>
      </rPr>
      <t>:</t>
    </r>
  </si>
  <si>
    <r>
      <rPr>
        <sz val="10"/>
        <rFont val="Symbol"/>
        <family val="1"/>
        <charset val="2"/>
      </rPr>
      <t>g</t>
    </r>
    <r>
      <rPr>
        <vertAlign val="subscript"/>
        <sz val="10"/>
        <rFont val="Times New Roman"/>
        <family val="1"/>
      </rPr>
      <t>s</t>
    </r>
    <r>
      <rPr>
        <sz val="10"/>
        <rFont val="Times New Roman"/>
        <family val="1"/>
      </rPr>
      <t xml:space="preserve"> =</t>
    </r>
  </si>
  <si>
    <r>
      <rPr>
        <sz val="10"/>
        <rFont val="Symbol"/>
        <family val="1"/>
        <charset val="2"/>
      </rPr>
      <t>g</t>
    </r>
    <r>
      <rPr>
        <vertAlign val="subscript"/>
        <sz val="10"/>
        <rFont val="Times New Roman"/>
        <family val="1"/>
      </rPr>
      <t>r</t>
    </r>
    <r>
      <rPr>
        <sz val="10"/>
        <rFont val="Times New Roman"/>
        <family val="1"/>
      </rPr>
      <t xml:space="preserve"> =</t>
    </r>
  </si>
  <si>
    <r>
      <rPr>
        <sz val="10"/>
        <rFont val="Symbol"/>
        <family val="1"/>
        <charset val="2"/>
      </rPr>
      <t>s</t>
    </r>
    <r>
      <rPr>
        <vertAlign val="subscript"/>
        <sz val="10"/>
        <rFont val="Times New Roman"/>
        <family val="1"/>
      </rPr>
      <t>s</t>
    </r>
    <r>
      <rPr>
        <sz val="10"/>
        <rFont val="Times New Roman"/>
        <family val="1"/>
      </rPr>
      <t xml:space="preserve"> =</t>
    </r>
  </si>
  <si>
    <t>TIPO</t>
  </si>
  <si>
    <t>Gavión</t>
  </si>
  <si>
    <r>
      <rPr>
        <sz val="10"/>
        <color theme="1"/>
        <rFont val="Symbol"/>
        <family val="1"/>
        <charset val="2"/>
      </rPr>
      <t>s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=</t>
    </r>
  </si>
  <si>
    <r>
      <rPr>
        <sz val="10"/>
        <color theme="1"/>
        <rFont val="Symbol"/>
        <family val="1"/>
        <charset val="2"/>
      </rPr>
      <t>s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=</t>
    </r>
  </si>
  <si>
    <r>
      <rPr>
        <sz val="10"/>
        <color theme="1"/>
        <rFont val="Symbol"/>
        <family val="1"/>
        <charset val="2"/>
      </rPr>
      <t>s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</t>
    </r>
  </si>
  <si>
    <r>
      <rPr>
        <b/>
        <u/>
        <sz val="11"/>
        <rFont val="Times New Roman"/>
        <family val="1"/>
      </rPr>
      <t>VERIFICACIÓN ENTRE BLOQUE Y BLOQUE</t>
    </r>
    <r>
      <rPr>
        <b/>
        <sz val="11"/>
        <rFont val="Times New Roman"/>
        <family val="1"/>
      </rPr>
      <t>:</t>
    </r>
  </si>
  <si>
    <r>
      <rPr>
        <b/>
        <u/>
        <sz val="10"/>
        <color theme="1"/>
        <rFont val="Times New Roman"/>
        <family val="1"/>
      </rPr>
      <t>PRIMER BLOQUE</t>
    </r>
    <r>
      <rPr>
        <b/>
        <sz val="10"/>
        <color theme="1"/>
        <rFont val="Times New Roman"/>
        <family val="1"/>
      </rPr>
      <t>:</t>
    </r>
  </si>
  <si>
    <r>
      <rPr>
        <u/>
        <sz val="10"/>
        <color theme="1"/>
        <rFont val="Times New Roman"/>
        <family val="1"/>
      </rPr>
      <t>Predimensionado de la base</t>
    </r>
    <r>
      <rPr>
        <sz val="10"/>
        <color theme="1"/>
        <rFont val="Times New Roman"/>
        <family val="1"/>
      </rPr>
      <t>:</t>
    </r>
  </si>
  <si>
    <t>Dimensión de la base</t>
  </si>
  <si>
    <t>B =</t>
  </si>
  <si>
    <t>=</t>
  </si>
  <si>
    <t>Empuje =</t>
  </si>
  <si>
    <t>Momento =</t>
  </si>
  <si>
    <r>
      <rPr>
        <b/>
        <u/>
        <sz val="10"/>
        <color theme="1"/>
        <rFont val="Times New Roman"/>
        <family val="1"/>
      </rPr>
      <t>SEGUNDO BLOQUE</t>
    </r>
    <r>
      <rPr>
        <b/>
        <sz val="10"/>
        <color theme="1"/>
        <rFont val="Times New Roman"/>
        <family val="1"/>
      </rPr>
      <t>:</t>
    </r>
  </si>
  <si>
    <r>
      <rPr>
        <b/>
        <i/>
        <u/>
        <sz val="10"/>
        <color theme="1"/>
        <rFont val="Times New Roman"/>
        <family val="1"/>
      </rPr>
      <t>Fuerzas estabilizantes</t>
    </r>
    <r>
      <rPr>
        <b/>
        <i/>
        <sz val="10"/>
        <color theme="1"/>
        <rFont val="Times New Roman"/>
        <family val="1"/>
      </rPr>
      <t>:</t>
    </r>
  </si>
  <si>
    <r>
      <rPr>
        <b/>
        <i/>
        <u/>
        <sz val="10"/>
        <color theme="1"/>
        <rFont val="Times New Roman"/>
        <family val="1"/>
      </rPr>
      <t>Fuerzas desestabilizantes</t>
    </r>
    <r>
      <rPr>
        <b/>
        <i/>
        <sz val="10"/>
        <color theme="1"/>
        <rFont val="Times New Roman"/>
        <family val="1"/>
      </rPr>
      <t>:</t>
    </r>
  </si>
  <si>
    <r>
      <t>Verificación por deslizamiento</t>
    </r>
    <r>
      <rPr>
        <b/>
        <i/>
        <sz val="10"/>
        <color theme="1"/>
        <rFont val="Times New Roman"/>
        <family val="1"/>
      </rPr>
      <t>:</t>
    </r>
  </si>
  <si>
    <r>
      <rPr>
        <b/>
        <i/>
        <u/>
        <sz val="10"/>
        <color theme="1"/>
        <rFont val="Times New Roman"/>
        <family val="1"/>
      </rPr>
      <t>Verificación por volteo</t>
    </r>
    <r>
      <rPr>
        <b/>
        <i/>
        <sz val="10"/>
        <color theme="1"/>
        <rFont val="Times New Roman"/>
        <family val="1"/>
      </rPr>
      <t>:</t>
    </r>
  </si>
  <si>
    <r>
      <t xml:space="preserve">   </t>
    </r>
    <r>
      <rPr>
        <sz val="10"/>
        <color theme="1"/>
        <rFont val="Calibri"/>
        <family val="2"/>
      </rPr>
      <t>∑</t>
    </r>
    <r>
      <rPr>
        <sz val="10"/>
        <color theme="1"/>
        <rFont val="Times New Roman"/>
        <family val="1"/>
      </rPr>
      <t xml:space="preserve">  =</t>
    </r>
  </si>
  <si>
    <t>Ancho de cada bloque</t>
  </si>
  <si>
    <r>
      <t>h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 =</t>
    </r>
  </si>
  <si>
    <r>
      <t>b</t>
    </r>
    <r>
      <rPr>
        <vertAlign val="sub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 =</t>
    </r>
  </si>
  <si>
    <t>Adoptamos una base de</t>
  </si>
  <si>
    <r>
      <rPr>
        <b/>
        <u/>
        <sz val="11"/>
        <rFont val="Times New Roman"/>
        <family val="1"/>
      </rPr>
      <t>CÁLCULO DEL EMPUJE ACTIVO</t>
    </r>
    <r>
      <rPr>
        <b/>
        <sz val="11"/>
        <rFont val="Times New Roman"/>
        <family val="1"/>
      </rPr>
      <t>:</t>
    </r>
  </si>
  <si>
    <t>ÁREA    (m²)</t>
  </si>
  <si>
    <r>
      <t>GEOMETRÍA DEL MURO</t>
    </r>
    <r>
      <rPr>
        <b/>
        <sz val="11"/>
        <rFont val="Times New Roman"/>
        <family val="1"/>
      </rPr>
      <t>:</t>
    </r>
  </si>
  <si>
    <t>6,82T/m 2</t>
  </si>
  <si>
    <t>A 1 METRO</t>
  </si>
  <si>
    <t>BVIII</t>
  </si>
  <si>
    <t>BV</t>
  </si>
  <si>
    <t>BI</t>
  </si>
  <si>
    <t>AII</t>
  </si>
  <si>
    <t>AIII</t>
  </si>
  <si>
    <t>AIV</t>
  </si>
  <si>
    <t>AVI</t>
  </si>
  <si>
    <t>AVII</t>
  </si>
  <si>
    <t>AIX</t>
  </si>
  <si>
    <t>Peso (AIX) =</t>
  </si>
  <si>
    <t>Momento (AIX) =</t>
  </si>
  <si>
    <t>Peso (BVIII) =</t>
  </si>
  <si>
    <t>Momento (BVIII) =</t>
  </si>
  <si>
    <r>
      <rPr>
        <b/>
        <u/>
        <sz val="10"/>
        <color theme="1"/>
        <rFont val="Times New Roman"/>
        <family val="1"/>
      </rPr>
      <t>TERCER BLOQUE</t>
    </r>
    <r>
      <rPr>
        <b/>
        <sz val="10"/>
        <color theme="1"/>
        <rFont val="Times New Roman"/>
        <family val="1"/>
      </rPr>
      <t>:</t>
    </r>
  </si>
  <si>
    <t>Peso (AVI) =</t>
  </si>
  <si>
    <t>Peso (AVII) =</t>
  </si>
  <si>
    <t>Momento (AVI) =</t>
  </si>
  <si>
    <t>Momento (AVII) =</t>
  </si>
  <si>
    <r>
      <rPr>
        <b/>
        <u/>
        <sz val="10"/>
        <color theme="1"/>
        <rFont val="Times New Roman"/>
        <family val="1"/>
      </rPr>
      <t>CUARTO BLOQUE</t>
    </r>
    <r>
      <rPr>
        <b/>
        <sz val="10"/>
        <color theme="1"/>
        <rFont val="Times New Roman"/>
        <family val="1"/>
      </rPr>
      <t>:</t>
    </r>
  </si>
  <si>
    <t>Peso (AIV) =</t>
  </si>
  <si>
    <t>Peso (BV) =</t>
  </si>
  <si>
    <t>Momento (AIV) =</t>
  </si>
  <si>
    <t>Momento (BV) =</t>
  </si>
  <si>
    <t>DISEÑO MURO CON GAVIONES</t>
  </si>
  <si>
    <t>DATOS PARA EL DISEÑO:</t>
  </si>
  <si>
    <t>este valor a 2 metros de profundidad es mayor llega a 1,49kg/cm2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</si>
</sst>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0.00\ &quot;tn/m³&quot;"/>
    <numFmt numFmtId="165" formatCode="0.00&quot;°&quot;"/>
    <numFmt numFmtId="166" formatCode="0.00\ &quot;kg/cm²&quot;"/>
    <numFmt numFmtId="167" formatCode="0\ &quot;kg/cm²&quot;"/>
    <numFmt numFmtId="168" formatCode="0.0"/>
    <numFmt numFmtId="169" formatCode="0.00\ &quot;m&quot;"/>
    <numFmt numFmtId="170" formatCode="0.000"/>
    <numFmt numFmtId="171" formatCode="0.00\ &quot;tn/m&quot;"/>
    <numFmt numFmtId="172" formatCode="0.0000"/>
    <numFmt numFmtId="173" formatCode="0.00\ &quot;tn&quot;"/>
    <numFmt numFmtId="174" formatCode="0.0\ &quot;tn-m&quot;"/>
    <numFmt numFmtId="175" formatCode="0&quot;°&quot;"/>
    <numFmt numFmtId="176" formatCode="0.0000\ &quot;tn&quot;"/>
    <numFmt numFmtId="177" formatCode="&quot;*&quot;\ \ 0.00\ &quot;m&quot;"/>
    <numFmt numFmtId="178" formatCode="0.000\ &quot;m&quot;"/>
    <numFmt numFmtId="179" formatCode="0.000\ &quot;tn&quot;"/>
    <numFmt numFmtId="180" formatCode="0.000\ &quot;tn-m&quot;"/>
    <numFmt numFmtId="181" formatCode="&quot;x&quot;\ \ \ 0.000\ &quot;m&quot;"/>
    <numFmt numFmtId="182" formatCode="0.00000\ &quot;tn-m&quot;"/>
    <numFmt numFmtId="183" formatCode="0.0000\ &quot;m&quot;"/>
    <numFmt numFmtId="184" formatCode="0.0\ &quot;m&quot;"/>
    <numFmt numFmtId="185" formatCode="&quot;x&quot;\ \ 0.00"/>
    <numFmt numFmtId="186" formatCode="&quot;x&quot;\ \ \ 0.00"/>
    <numFmt numFmtId="187" formatCode="0.00000\ &quot;tn&quot;"/>
    <numFmt numFmtId="188" formatCode="&quot;x&quot;\ \ 0.00\ &quot;m&quot;"/>
    <numFmt numFmtId="189" formatCode="0.0000\ &quot;tn-m&quot;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Symbol"/>
      <family val="1"/>
      <charset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vertAlign val="subscript"/>
      <sz val="10"/>
      <name val="Times New Roman"/>
      <family val="1"/>
    </font>
    <font>
      <vertAlign val="sub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1"/>
      <name val="Times New Roman"/>
      <family val="1"/>
    </font>
    <font>
      <i/>
      <u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theme="8" tint="0.3999450666829432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Grid">
        <fgColor theme="9" tint="-0.24994659260841701"/>
        <bgColor indexed="65"/>
      </patternFill>
    </fill>
    <fill>
      <patternFill patternType="solid">
        <fgColor theme="0"/>
        <bgColor auto="1"/>
      </patternFill>
    </fill>
    <fill>
      <patternFill patternType="solid">
        <fgColor indexed="6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169" fontId="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9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5" fontId="8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173" fontId="15" fillId="0" borderId="0" xfId="0" applyNumberFormat="1" applyFont="1" applyAlignment="1">
      <alignment horizontal="center" vertical="center"/>
    </xf>
    <xf numFmtId="174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173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182" fontId="8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4" borderId="0" xfId="0" applyFont="1" applyFill="1" applyAlignment="1">
      <alignment vertical="center"/>
    </xf>
    <xf numFmtId="168" fontId="8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189" fontId="8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center" vertical="center"/>
    </xf>
    <xf numFmtId="169" fontId="8" fillId="2" borderId="0" xfId="0" applyNumberFormat="1" applyFont="1" applyFill="1" applyAlignment="1">
      <alignment horizontal="right" vertical="center" textRotation="90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8" fillId="6" borderId="11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8" fillId="6" borderId="13" xfId="0" applyFont="1" applyFill="1" applyBorder="1" applyAlignment="1">
      <alignment vertical="center"/>
    </xf>
    <xf numFmtId="0" fontId="8" fillId="6" borderId="14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8" fillId="6" borderId="15" xfId="0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169" fontId="8" fillId="0" borderId="0" xfId="0" applyNumberFormat="1" applyFont="1" applyAlignment="1">
      <alignment horizontal="center"/>
    </xf>
    <xf numFmtId="169" fontId="8" fillId="2" borderId="14" xfId="0" applyNumberFormat="1" applyFont="1" applyFill="1" applyBorder="1" applyAlignment="1">
      <alignment horizontal="center" vertical="center" textRotation="90"/>
    </xf>
    <xf numFmtId="169" fontId="8" fillId="3" borderId="16" xfId="0" applyNumberFormat="1" applyFont="1" applyFill="1" applyBorder="1" applyAlignment="1">
      <alignment horizontal="center"/>
    </xf>
    <xf numFmtId="169" fontId="8" fillId="3" borderId="17" xfId="0" applyNumberFormat="1" applyFont="1" applyFill="1" applyBorder="1" applyAlignment="1">
      <alignment horizontal="center"/>
    </xf>
    <xf numFmtId="169" fontId="8" fillId="3" borderId="18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84" fontId="20" fillId="7" borderId="0" xfId="0" applyNumberFormat="1" applyFont="1" applyFill="1" applyAlignment="1">
      <alignment vertical="center"/>
    </xf>
    <xf numFmtId="169" fontId="8" fillId="7" borderId="0" xfId="0" applyNumberFormat="1" applyFont="1" applyFill="1" applyAlignment="1">
      <alignment vertical="center"/>
    </xf>
    <xf numFmtId="169" fontId="8" fillId="2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68" fontId="5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67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8" fillId="7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169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169" fontId="8" fillId="7" borderId="14" xfId="0" applyNumberFormat="1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0" borderId="16" xfId="0" applyFont="1" applyBorder="1" applyAlignment="1">
      <alignment horizontal="right" vertical="center"/>
    </xf>
    <xf numFmtId="167" fontId="8" fillId="0" borderId="12" xfId="0" applyNumberFormat="1" applyFont="1" applyBorder="1" applyAlignment="1">
      <alignment horizontal="left" vertical="center"/>
    </xf>
    <xf numFmtId="167" fontId="8" fillId="0" borderId="0" xfId="0" applyNumberFormat="1" applyFont="1" applyAlignment="1">
      <alignment horizontal="left" vertical="center"/>
    </xf>
    <xf numFmtId="167" fontId="8" fillId="0" borderId="17" xfId="0" applyNumberFormat="1" applyFont="1" applyBorder="1" applyAlignment="1">
      <alignment horizontal="left" vertical="center"/>
    </xf>
    <xf numFmtId="167" fontId="8" fillId="0" borderId="17" xfId="0" applyNumberFormat="1" applyFont="1" applyBorder="1" applyAlignment="1">
      <alignment horizontal="center" vertical="center"/>
    </xf>
    <xf numFmtId="2" fontId="8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2" fontId="8" fillId="11" borderId="1" xfId="0" applyNumberFormat="1" applyFont="1" applyFill="1" applyBorder="1" applyAlignment="1">
      <alignment horizontal="center" vertical="center"/>
    </xf>
    <xf numFmtId="2" fontId="8" fillId="11" borderId="10" xfId="0" applyNumberFormat="1" applyFont="1" applyFill="1" applyBorder="1" applyAlignment="1">
      <alignment horizontal="center" vertical="center"/>
    </xf>
    <xf numFmtId="187" fontId="8" fillId="0" borderId="0" xfId="0" applyNumberFormat="1" applyFont="1" applyAlignment="1">
      <alignment horizontal="center" vertical="center"/>
    </xf>
    <xf numFmtId="169" fontId="8" fillId="2" borderId="0" xfId="0" applyNumberFormat="1" applyFont="1" applyFill="1" applyAlignment="1">
      <alignment horizontal="right" vertical="center" textRotation="90"/>
    </xf>
    <xf numFmtId="0" fontId="8" fillId="0" borderId="0" xfId="0" applyFont="1" applyAlignment="1">
      <alignment horizontal="right" vertical="center"/>
    </xf>
    <xf numFmtId="182" fontId="8" fillId="0" borderId="3" xfId="0" applyNumberFormat="1" applyFont="1" applyBorder="1" applyAlignment="1">
      <alignment horizontal="center" vertical="center"/>
    </xf>
    <xf numFmtId="188" fontId="8" fillId="0" borderId="0" xfId="0" applyNumberFormat="1" applyFont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169" fontId="8" fillId="2" borderId="0" xfId="0" applyNumberFormat="1" applyFont="1" applyFill="1" applyAlignment="1">
      <alignment horizontal="center" vertical="top"/>
    </xf>
    <xf numFmtId="169" fontId="8" fillId="2" borderId="17" xfId="0" applyNumberFormat="1" applyFont="1" applyFill="1" applyBorder="1" applyAlignment="1">
      <alignment horizontal="center" vertical="top"/>
    </xf>
    <xf numFmtId="186" fontId="8" fillId="0" borderId="0" xfId="0" applyNumberFormat="1" applyFont="1" applyAlignment="1">
      <alignment horizontal="center" vertical="center"/>
    </xf>
    <xf numFmtId="185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9" fontId="8" fillId="0" borderId="12" xfId="0" applyNumberFormat="1" applyFont="1" applyBorder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69" fontId="8" fillId="2" borderId="14" xfId="0" applyNumberFormat="1" applyFont="1" applyFill="1" applyBorder="1" applyAlignment="1">
      <alignment horizontal="right" vertical="center" textRotation="90"/>
    </xf>
    <xf numFmtId="173" fontId="8" fillId="0" borderId="0" xfId="0" applyNumberFormat="1" applyFont="1" applyAlignment="1">
      <alignment horizontal="center" vertical="center"/>
    </xf>
    <xf numFmtId="170" fontId="8" fillId="0" borderId="0" xfId="0" applyNumberFormat="1" applyFont="1" applyAlignment="1">
      <alignment horizontal="center" vertical="center"/>
    </xf>
    <xf numFmtId="189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87" fontId="8" fillId="0" borderId="3" xfId="0" applyNumberFormat="1" applyFont="1" applyBorder="1" applyAlignment="1">
      <alignment horizontal="center" vertical="center"/>
    </xf>
    <xf numFmtId="169" fontId="8" fillId="2" borderId="0" xfId="0" applyNumberFormat="1" applyFont="1" applyFill="1" applyAlignment="1">
      <alignment horizontal="center" vertical="center"/>
    </xf>
    <xf numFmtId="184" fontId="20" fillId="2" borderId="0" xfId="0" applyNumberFormat="1" applyFont="1" applyFill="1" applyAlignment="1">
      <alignment horizontal="center" vertical="center"/>
    </xf>
    <xf numFmtId="184" fontId="20" fillId="2" borderId="17" xfId="0" applyNumberFormat="1" applyFont="1" applyFill="1" applyBorder="1" applyAlignment="1">
      <alignment horizontal="center" vertical="center"/>
    </xf>
    <xf numFmtId="166" fontId="8" fillId="11" borderId="1" xfId="0" applyNumberFormat="1" applyFont="1" applyFill="1" applyBorder="1" applyAlignment="1">
      <alignment horizontal="center" vertical="center"/>
    </xf>
    <xf numFmtId="166" fontId="8" fillId="11" borderId="1" xfId="0" applyNumberFormat="1" applyFont="1" applyFill="1" applyBorder="1" applyAlignment="1">
      <alignment horizontal="left" vertical="center"/>
    </xf>
    <xf numFmtId="166" fontId="8" fillId="11" borderId="10" xfId="0" applyNumberFormat="1" applyFont="1" applyFill="1" applyBorder="1" applyAlignment="1">
      <alignment horizontal="left" vertical="center"/>
    </xf>
    <xf numFmtId="183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81" fontId="8" fillId="0" borderId="0" xfId="0" applyNumberFormat="1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1" fontId="8" fillId="4" borderId="1" xfId="0" applyNumberFormat="1" applyFont="1" applyFill="1" applyBorder="1" applyAlignment="1">
      <alignment horizontal="center" vertical="center"/>
    </xf>
    <xf numFmtId="171" fontId="8" fillId="4" borderId="10" xfId="0" applyNumberFormat="1" applyFont="1" applyFill="1" applyBorder="1" applyAlignment="1">
      <alignment horizontal="center" vertical="center"/>
    </xf>
    <xf numFmtId="170" fontId="8" fillId="4" borderId="1" xfId="0" applyNumberFormat="1" applyFont="1" applyFill="1" applyBorder="1" applyAlignment="1">
      <alignment horizontal="center" vertical="center"/>
    </xf>
    <xf numFmtId="170" fontId="8" fillId="4" borderId="10" xfId="0" applyNumberFormat="1" applyFont="1" applyFill="1" applyBorder="1" applyAlignment="1">
      <alignment horizontal="center" vertical="center"/>
    </xf>
    <xf numFmtId="173" fontId="8" fillId="4" borderId="1" xfId="0" applyNumberFormat="1" applyFont="1" applyFill="1" applyBorder="1" applyAlignment="1">
      <alignment horizontal="center" vertical="center"/>
    </xf>
    <xf numFmtId="173" fontId="8" fillId="4" borderId="10" xfId="0" applyNumberFormat="1" applyFont="1" applyFill="1" applyBorder="1" applyAlignment="1">
      <alignment horizontal="center" vertical="center"/>
    </xf>
    <xf numFmtId="174" fontId="8" fillId="4" borderId="1" xfId="0" applyNumberFormat="1" applyFont="1" applyFill="1" applyBorder="1" applyAlignment="1">
      <alignment horizontal="center" vertical="center"/>
    </xf>
    <xf numFmtId="174" fontId="8" fillId="4" borderId="10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170" fontId="8" fillId="10" borderId="2" xfId="0" applyNumberFormat="1" applyFont="1" applyFill="1" applyBorder="1" applyAlignment="1">
      <alignment horizontal="center" vertical="center"/>
    </xf>
    <xf numFmtId="164" fontId="8" fillId="10" borderId="2" xfId="0" applyNumberFormat="1" applyFont="1" applyFill="1" applyBorder="1" applyAlignment="1">
      <alignment horizontal="center" vertical="center"/>
    </xf>
    <xf numFmtId="171" fontId="8" fillId="10" borderId="2" xfId="0" applyNumberFormat="1" applyFont="1" applyFill="1" applyBorder="1" applyAlignment="1">
      <alignment horizontal="center" vertical="center"/>
    </xf>
    <xf numFmtId="172" fontId="8" fillId="10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0" fontId="8" fillId="5" borderId="2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71" fontId="8" fillId="5" borderId="2" xfId="0" applyNumberFormat="1" applyFont="1" applyFill="1" applyBorder="1" applyAlignment="1">
      <alignment horizontal="center" vertical="center"/>
    </xf>
    <xf numFmtId="172" fontId="8" fillId="5" borderId="2" xfId="0" applyNumberFormat="1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left" vertical="center"/>
    </xf>
    <xf numFmtId="178" fontId="8" fillId="0" borderId="0" xfId="0" applyNumberFormat="1" applyFont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169" fontId="8" fillId="0" borderId="15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9" fontId="8" fillId="0" borderId="17" xfId="0" applyNumberFormat="1" applyFont="1" applyBorder="1" applyAlignment="1">
      <alignment horizontal="center" vertical="center"/>
    </xf>
    <xf numFmtId="169" fontId="8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9" fontId="8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6" fontId="9" fillId="0" borderId="17" xfId="0" applyNumberFormat="1" applyFont="1" applyBorder="1" applyAlignment="1">
      <alignment horizontal="center" vertical="center" wrapText="1"/>
    </xf>
    <xf numFmtId="166" fontId="9" fillId="0" borderId="18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9" fontId="8" fillId="2" borderId="14" xfId="0" applyNumberFormat="1" applyFont="1" applyFill="1" applyBorder="1" applyAlignment="1">
      <alignment horizontal="center" vertical="center" textRotation="90"/>
    </xf>
    <xf numFmtId="169" fontId="8" fillId="0" borderId="12" xfId="0" applyNumberFormat="1" applyFont="1" applyBorder="1" applyAlignment="1">
      <alignment horizontal="center"/>
    </xf>
    <xf numFmtId="169" fontId="8" fillId="0" borderId="0" xfId="0" applyNumberFormat="1" applyFont="1" applyAlignment="1">
      <alignment horizontal="center"/>
    </xf>
    <xf numFmtId="187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185" fontId="8" fillId="0" borderId="0" xfId="0" applyNumberFormat="1" applyFont="1" applyAlignment="1">
      <alignment horizontal="left" vertical="center"/>
    </xf>
    <xf numFmtId="186" fontId="8" fillId="0" borderId="0" xfId="0" applyNumberFormat="1" applyFont="1" applyAlignment="1">
      <alignment horizontal="left" vertical="center"/>
    </xf>
    <xf numFmtId="173" fontId="8" fillId="0" borderId="0" xfId="0" applyNumberFormat="1" applyFont="1" applyAlignment="1">
      <alignment horizontal="left" vertical="center"/>
    </xf>
    <xf numFmtId="188" fontId="8" fillId="0" borderId="0" xfId="0" applyNumberFormat="1" applyFont="1" applyAlignment="1">
      <alignment horizontal="left" vertical="center"/>
    </xf>
    <xf numFmtId="182" fontId="8" fillId="0" borderId="3" xfId="0" applyNumberFormat="1" applyFont="1" applyBorder="1" applyAlignment="1">
      <alignment horizontal="left" vertical="center"/>
    </xf>
    <xf numFmtId="187" fontId="8" fillId="0" borderId="3" xfId="0" applyNumberFormat="1" applyFont="1" applyBorder="1" applyAlignment="1">
      <alignment horizontal="left" vertical="center"/>
    </xf>
    <xf numFmtId="182" fontId="8" fillId="0" borderId="0" xfId="0" applyNumberFormat="1" applyFont="1" applyAlignment="1">
      <alignment horizontal="left" vertical="center"/>
    </xf>
    <xf numFmtId="0" fontId="30" fillId="12" borderId="11" xfId="0" applyFont="1" applyFill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0" fontId="30" fillId="12" borderId="13" xfId="0" applyFont="1" applyFill="1" applyBorder="1" applyAlignment="1">
      <alignment horizontal="center" vertical="center"/>
    </xf>
    <xf numFmtId="0" fontId="30" fillId="12" borderId="16" xfId="0" applyFont="1" applyFill="1" applyBorder="1" applyAlignment="1">
      <alignment horizontal="center" vertical="center"/>
    </xf>
    <xf numFmtId="0" fontId="30" fillId="12" borderId="17" xfId="0" applyFont="1" applyFill="1" applyBorder="1" applyAlignment="1">
      <alignment horizontal="center" vertical="center"/>
    </xf>
    <xf numFmtId="0" fontId="30" fillId="12" borderId="18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Presiones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Hoja2!$C$21:$C$25</c:f>
              <c:numCache>
                <c:formatCode>0.0</c:formatCode>
                <c:ptCount val="5"/>
                <c:pt idx="0">
                  <c:v>0</c:v>
                </c:pt>
                <c:pt idx="1">
                  <c:v>3.5</c:v>
                </c:pt>
                <c:pt idx="2">
                  <c:v>3.5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Hoja2!$D$21:$D$25</c:f>
              <c:numCache>
                <c:formatCode>0.0</c:formatCode>
                <c:ptCount val="5"/>
                <c:pt idx="0">
                  <c:v>-0.1</c:v>
                </c:pt>
                <c:pt idx="1">
                  <c:v>-0.1</c:v>
                </c:pt>
                <c:pt idx="2">
                  <c:v>-1.0251020408163265</c:v>
                </c:pt>
                <c:pt idx="3">
                  <c:v>-0.79489795918367367</c:v>
                </c:pt>
                <c:pt idx="4">
                  <c:v>-0.1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EA-4FDA-8B16-DA04262C25DA}"/>
            </c:ext>
          </c:extLst>
        </c:ser>
        <c:ser>
          <c:idx val="4"/>
          <c:order val="1"/>
          <c:tx>
            <c:v>B/3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Hoja2!$H$21:$H$22</c:f>
              <c:numCache>
                <c:formatCode>0.00</c:formatCode>
                <c:ptCount val="2"/>
                <c:pt idx="0">
                  <c:v>1.1666666666666667</c:v>
                </c:pt>
                <c:pt idx="1">
                  <c:v>2.3333333333333335</c:v>
                </c:pt>
              </c:numCache>
            </c:numRef>
          </c:xVal>
          <c:yVal>
            <c:numRef>
              <c:f>Hoja2!$I$21:$I$22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EA-4FDA-8B16-DA04262C25DA}"/>
            </c:ext>
          </c:extLst>
        </c:ser>
        <c:ser>
          <c:idx val="1"/>
          <c:order val="2"/>
          <c:tx>
            <c:v>Cg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Hoja2!$E$8</c:f>
              <c:numCache>
                <c:formatCode>0.00</c:formatCode>
                <c:ptCount val="1"/>
                <c:pt idx="0">
                  <c:v>1.75</c:v>
                </c:pt>
              </c:numCache>
            </c:numRef>
          </c:xVal>
          <c:yVal>
            <c:numRef>
              <c:f>Hoja2!$F$8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EA-4FDA-8B16-DA04262C25DA}"/>
            </c:ext>
          </c:extLst>
        </c:ser>
        <c:ser>
          <c:idx val="2"/>
          <c:order val="3"/>
          <c:tx>
            <c:v>R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Hoja2!$E$4</c:f>
              <c:numCache>
                <c:formatCode>0.00</c:formatCode>
                <c:ptCount val="1"/>
                <c:pt idx="0">
                  <c:v>1.8328924162257494</c:v>
                </c:pt>
              </c:numCache>
            </c:numRef>
          </c:xVal>
          <c:yVal>
            <c:numRef>
              <c:f>Hoja2!$F$4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EA-4FDA-8B16-DA04262C25DA}"/>
            </c:ext>
          </c:extLst>
        </c:ser>
        <c:ser>
          <c:idx val="0"/>
          <c:order val="4"/>
          <c:tx>
            <c:v>Muro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Hoja2!$M$4:$M$16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1</c:v>
                </c:pt>
                <c:pt idx="4" formatCode="0.0">
                  <c:v>1.5</c:v>
                </c:pt>
                <c:pt idx="5" formatCode="0.0">
                  <c:v>1.5</c:v>
                </c:pt>
                <c:pt idx="6">
                  <c:v>2</c:v>
                </c:pt>
                <c:pt idx="7">
                  <c:v>2</c:v>
                </c:pt>
                <c:pt idx="8">
                  <c:v>2.5</c:v>
                </c:pt>
                <c:pt idx="9">
                  <c:v>2.5</c:v>
                </c:pt>
                <c:pt idx="10">
                  <c:v>3.5</c:v>
                </c:pt>
                <c:pt idx="11">
                  <c:v>3.5</c:v>
                </c:pt>
                <c:pt idx="12">
                  <c:v>0</c:v>
                </c:pt>
              </c:numCache>
            </c:numRef>
          </c:xVal>
          <c:yVal>
            <c:numRef>
              <c:f>Hoja2!$N$4:$N$16</c:f>
              <c:numCache>
                <c:formatCode>0.00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BEA-4FDA-8B16-DA04262C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855040"/>
        <c:axId val="1208851776"/>
      </c:scatterChart>
      <c:valAx>
        <c:axId val="120885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08851776"/>
        <c:crosses val="autoZero"/>
        <c:crossBetween val="midCat"/>
      </c:valAx>
      <c:valAx>
        <c:axId val="12088517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08855040"/>
        <c:crosses val="max"/>
        <c:crossBetween val="midCat"/>
        <c:majorUnit val="0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  <a:headEnd type="none"/>
            </a:ln>
            <a:effectLst/>
          </c:spPr>
          <c:marker>
            <c:symbol val="none"/>
          </c:marker>
          <c:x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2.5721250000000002</c:v>
              </c:pt>
              <c:pt idx="3">
                <c:v>0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2.85</c:v>
              </c:pt>
              <c:pt idx="2">
                <c:v>0</c:v>
              </c:pt>
              <c:pt idx="3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F9E2-47EB-9B2C-BCBD04FA8496}"/>
            </c:ext>
          </c:extLst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2.4113671875000002</c:v>
              </c:pt>
            </c:numLit>
          </c:xVal>
          <c:yVal>
            <c:numLit>
              <c:formatCode>General</c:formatCode>
              <c:ptCount val="2"/>
              <c:pt idx="0">
                <c:v>0.17812500000000001</c:v>
              </c:pt>
              <c:pt idx="1">
                <c:v>0.17812500000000001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9E2-47EB-9B2C-BCBD04FA8496}"/>
            </c:ext>
          </c:extLst>
        </c:ser>
        <c:ser>
          <c:idx val="2"/>
          <c:order val="2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2.0898515625000003</c:v>
              </c:pt>
            </c:numLit>
          </c:xVal>
          <c:yVal>
            <c:numLit>
              <c:formatCode>General</c:formatCode>
              <c:ptCount val="2"/>
              <c:pt idx="0">
                <c:v>0.53437500000000004</c:v>
              </c:pt>
              <c:pt idx="1">
                <c:v>0.53437500000000004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9E2-47EB-9B2C-BCBD04FA8496}"/>
            </c:ext>
          </c:extLst>
        </c:ser>
        <c:ser>
          <c:idx val="3"/>
          <c:order val="3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1.7683359375000003</c:v>
              </c:pt>
            </c:numLit>
          </c:xVal>
          <c:yVal>
            <c:numLit>
              <c:formatCode>General</c:formatCode>
              <c:ptCount val="2"/>
              <c:pt idx="0">
                <c:v>0.890625</c:v>
              </c:pt>
              <c:pt idx="1">
                <c:v>0.890625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F9E2-47EB-9B2C-BCBD04FA8496}"/>
            </c:ext>
          </c:extLst>
        </c:ser>
        <c:ser>
          <c:idx val="4"/>
          <c:order val="4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1.4468203125000001</c:v>
              </c:pt>
            </c:numLit>
          </c:xVal>
          <c:yVal>
            <c:numLit>
              <c:formatCode>General</c:formatCode>
              <c:ptCount val="2"/>
              <c:pt idx="0">
                <c:v>1.2468750000000002</c:v>
              </c:pt>
              <c:pt idx="1">
                <c:v>1.2468750000000002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F9E2-47EB-9B2C-BCBD04FA8496}"/>
            </c:ext>
          </c:extLst>
        </c:ser>
        <c:ser>
          <c:idx val="5"/>
          <c:order val="5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1.1253046874999999</c:v>
              </c:pt>
            </c:numLit>
          </c:xVal>
          <c:yVal>
            <c:numLit>
              <c:formatCode>General</c:formatCode>
              <c:ptCount val="2"/>
              <c:pt idx="0">
                <c:v>1.6031250000000004</c:v>
              </c:pt>
              <c:pt idx="1">
                <c:v>1.6031250000000004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9E2-47EB-9B2C-BCBD04FA8496}"/>
            </c:ext>
          </c:extLst>
        </c:ser>
        <c:ser>
          <c:idx val="6"/>
          <c:order val="6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0.80378906249999971</c:v>
              </c:pt>
            </c:numLit>
          </c:xVal>
          <c:yVal>
            <c:numLit>
              <c:formatCode>General</c:formatCode>
              <c:ptCount val="2"/>
              <c:pt idx="0">
                <c:v>1.9593750000000005</c:v>
              </c:pt>
              <c:pt idx="1">
                <c:v>1.9593750000000005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F9E2-47EB-9B2C-BCBD04FA8496}"/>
            </c:ext>
          </c:extLst>
        </c:ser>
        <c:ser>
          <c:idx val="7"/>
          <c:order val="7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0.48227343749999951</c:v>
              </c:pt>
            </c:numLit>
          </c:xVal>
          <c:yVal>
            <c:numLit>
              <c:formatCode>General</c:formatCode>
              <c:ptCount val="2"/>
              <c:pt idx="0">
                <c:v>2.3156250000000007</c:v>
              </c:pt>
              <c:pt idx="1">
                <c:v>2.3156250000000007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F9E2-47EB-9B2C-BCBD04FA8496}"/>
            </c:ext>
          </c:extLst>
        </c:ser>
        <c:ser>
          <c:idx val="8"/>
          <c:order val="8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0.16075781249999929</c:v>
              </c:pt>
            </c:numLit>
          </c:xVal>
          <c:yVal>
            <c:numLit>
              <c:formatCode>General</c:formatCode>
              <c:ptCount val="2"/>
              <c:pt idx="0">
                <c:v>2.6718750000000009</c:v>
              </c:pt>
              <c:pt idx="1">
                <c:v>2.6718750000000009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F9E2-47EB-9B2C-BCBD04FA8496}"/>
            </c:ext>
          </c:extLst>
        </c:ser>
        <c:ser>
          <c:idx val="9"/>
          <c:order val="9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2.2506093750000002</c:v>
              </c:pt>
            </c:numLit>
          </c:xVal>
          <c:yVal>
            <c:numLit>
              <c:formatCode>General</c:formatCode>
              <c:ptCount val="2"/>
              <c:pt idx="0">
                <c:v>0.35625000000000001</c:v>
              </c:pt>
              <c:pt idx="1">
                <c:v>0.35625000000000001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F9E2-47EB-9B2C-BCBD04FA8496}"/>
            </c:ext>
          </c:extLst>
        </c:ser>
        <c:ser>
          <c:idx val="10"/>
          <c:order val="10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1.9290937500000005</c:v>
              </c:pt>
            </c:numLit>
          </c:xVal>
          <c:yVal>
            <c:numLit>
              <c:formatCode>General</c:formatCode>
              <c:ptCount val="2"/>
              <c:pt idx="0">
                <c:v>0.71250000000000002</c:v>
              </c:pt>
              <c:pt idx="1">
                <c:v>0.71250000000000002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F9E2-47EB-9B2C-BCBD04FA8496}"/>
            </c:ext>
          </c:extLst>
        </c:ser>
        <c:ser>
          <c:idx val="11"/>
          <c:order val="11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1.6075781250000003</c:v>
              </c:pt>
            </c:numLit>
          </c:xVal>
          <c:yVal>
            <c:numLit>
              <c:formatCode>General</c:formatCode>
              <c:ptCount val="2"/>
              <c:pt idx="0">
                <c:v>1.0687500000000001</c:v>
              </c:pt>
              <c:pt idx="1">
                <c:v>1.0687500000000001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F9E2-47EB-9B2C-BCBD04FA8496}"/>
            </c:ext>
          </c:extLst>
        </c:ser>
        <c:ser>
          <c:idx val="12"/>
          <c:order val="12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1.2860625000000001</c:v>
              </c:pt>
            </c:numLit>
          </c:xVal>
          <c:yVal>
            <c:numLit>
              <c:formatCode>General</c:formatCode>
              <c:ptCount val="2"/>
              <c:pt idx="0">
                <c:v>1.4250000000000003</c:v>
              </c:pt>
              <c:pt idx="1">
                <c:v>1.4250000000000003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F9E2-47EB-9B2C-BCBD04FA8496}"/>
            </c:ext>
          </c:extLst>
        </c:ser>
        <c:ser>
          <c:idx val="13"/>
          <c:order val="13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0.9645468749999998</c:v>
              </c:pt>
            </c:numLit>
          </c:xVal>
          <c:yVal>
            <c:numLit>
              <c:formatCode>General</c:formatCode>
              <c:ptCount val="2"/>
              <c:pt idx="0">
                <c:v>1.7812500000000004</c:v>
              </c:pt>
              <c:pt idx="1">
                <c:v>1.7812500000000004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D-F9E2-47EB-9B2C-BCBD04FA8496}"/>
            </c:ext>
          </c:extLst>
        </c:ser>
        <c:ser>
          <c:idx val="14"/>
          <c:order val="14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0.64303124999999961</c:v>
              </c:pt>
            </c:numLit>
          </c:xVal>
          <c:yVal>
            <c:numLit>
              <c:formatCode>General</c:formatCode>
              <c:ptCount val="2"/>
              <c:pt idx="0">
                <c:v>2.1375000000000006</c:v>
              </c:pt>
              <c:pt idx="1">
                <c:v>2.1375000000000006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F9E2-47EB-9B2C-BCBD04FA8496}"/>
            </c:ext>
          </c:extLst>
        </c:ser>
        <c:ser>
          <c:idx val="15"/>
          <c:order val="15"/>
          <c:spPr>
            <a:ln w="9525" cap="rnd">
              <a:solidFill>
                <a:srgbClr val="FF0000"/>
              </a:solidFill>
              <a:round/>
              <a:headEnd type="triangle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0.32151562499999942</c:v>
              </c:pt>
            </c:numLit>
          </c:xVal>
          <c:yVal>
            <c:numLit>
              <c:formatCode>General</c:formatCode>
              <c:ptCount val="2"/>
              <c:pt idx="0">
                <c:v>2.4937500000000008</c:v>
              </c:pt>
              <c:pt idx="1">
                <c:v>2.4937500000000008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F9E2-47EB-9B2C-BCBD04FA8496}"/>
            </c:ext>
          </c:extLst>
        </c:ser>
        <c:ser>
          <c:idx val="16"/>
          <c:order val="16"/>
          <c:tx>
            <c:v>Ea</c:v>
          </c:tx>
          <c:spPr>
            <a:ln w="28575" cap="rnd">
              <a:solidFill>
                <a:schemeClr val="accent5"/>
              </a:solidFill>
              <a:round/>
              <a:headEnd type="arrow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2.8</c:v>
              </c:pt>
            </c:numLit>
          </c:xVal>
          <c:yVal>
            <c:numLit>
              <c:formatCode>General</c:formatCode>
              <c:ptCount val="2"/>
              <c:pt idx="0">
                <c:v>0.95000000000000007</c:v>
              </c:pt>
              <c:pt idx="1">
                <c:v>0.95000000000000007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0-F9E2-47EB-9B2C-BCBD04FA8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850688"/>
        <c:axId val="1208849600"/>
      </c:scatterChart>
      <c:valAx>
        <c:axId val="12088506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  <a:headEnd type="triangle"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1208849600"/>
        <c:crosses val="autoZero"/>
        <c:crossBetween val="midCat"/>
      </c:valAx>
      <c:valAx>
        <c:axId val="12088496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\ &quot;m&quot;" sourceLinked="0"/>
        <c:majorTickMark val="out"/>
        <c:minorTickMark val="none"/>
        <c:tickLblPos val="nextTo"/>
        <c:crossAx val="1208850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emf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27</xdr:row>
      <xdr:rowOff>12700</xdr:rowOff>
    </xdr:from>
    <xdr:to>
      <xdr:col>7</xdr:col>
      <xdr:colOff>152400</xdr:colOff>
      <xdr:row>48</xdr:row>
      <xdr:rowOff>145852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058" t="26020" r="31160" b="7706"/>
        <a:stretch/>
      </xdr:blipFill>
      <xdr:spPr>
        <a:xfrm>
          <a:off x="44450" y="4984750"/>
          <a:ext cx="3917950" cy="4000302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50800</xdr:colOff>
      <xdr:row>0</xdr:row>
      <xdr:rowOff>50800</xdr:rowOff>
    </xdr:from>
    <xdr:to>
      <xdr:col>19</xdr:col>
      <xdr:colOff>7840</xdr:colOff>
      <xdr:row>17</xdr:row>
      <xdr:rowOff>156843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2991D7-1245-4F2D-B185-349FBADB1C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1716" t="30625" r="31997" b="11859"/>
        <a:stretch/>
      </xdr:blipFill>
      <xdr:spPr>
        <a:xfrm>
          <a:off x="7467600" y="50800"/>
          <a:ext cx="3767040" cy="3236593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</xdr:row>
      <xdr:rowOff>63500</xdr:rowOff>
    </xdr:from>
    <xdr:to>
      <xdr:col>17</xdr:col>
      <xdr:colOff>185808</xdr:colOff>
      <xdr:row>9</xdr:row>
      <xdr:rowOff>145010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B75B2415-3AC5-4F81-867C-1D03C7A6044B}"/>
            </a:ext>
          </a:extLst>
        </xdr:cNvPr>
        <xdr:cNvSpPr/>
      </xdr:nvSpPr>
      <xdr:spPr>
        <a:xfrm>
          <a:off x="9798050" y="1720850"/>
          <a:ext cx="90558" cy="8151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51286</xdr:colOff>
          <xdr:row>29</xdr:row>
          <xdr:rowOff>95425</xdr:rowOff>
        </xdr:from>
        <xdr:to>
          <xdr:col>54</xdr:col>
          <xdr:colOff>68048</xdr:colOff>
          <xdr:row>44</xdr:row>
          <xdr:rowOff>95425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3:$O$27" spid="_x0000_s72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125977" y="6492462"/>
              <a:ext cx="3066330" cy="282222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14</xdr:col>
      <xdr:colOff>38101</xdr:colOff>
      <xdr:row>69</xdr:row>
      <xdr:rowOff>171450</xdr:rowOff>
    </xdr:from>
    <xdr:ext cx="800100" cy="219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 txBox="1"/>
          </xdr:nvSpPr>
          <xdr:spPr>
            <a:xfrm>
              <a:off x="2794001" y="14268450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𝑌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BFAB4D69-9D83-444C-B888-03018EE3DB65}"/>
                </a:ext>
              </a:extLst>
            </xdr:cNvPr>
            <xdr:cNvSpPr txBox="1"/>
          </xdr:nvSpPr>
          <xdr:spPr>
            <a:xfrm>
              <a:off x="2794001" y="14268450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𝑀_𝐴=𝐸_𝐴∗𝑌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142876</xdr:colOff>
      <xdr:row>77</xdr:row>
      <xdr:rowOff>152400</xdr:rowOff>
    </xdr:from>
    <xdr:ext cx="81915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 txBox="1"/>
          </xdr:nvSpPr>
          <xdr:spPr>
            <a:xfrm>
              <a:off x="339726" y="15773400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𝐹𝑆𝐷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7F8B27C4-80A6-4EDC-A63D-79F70CFB2544}"/>
                </a:ext>
              </a:extLst>
            </xdr:cNvPr>
            <xdr:cNvSpPr txBox="1"/>
          </xdr:nvSpPr>
          <xdr:spPr>
            <a:xfrm>
              <a:off x="339726" y="15773400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(𝑓∗𝑃)/𝐸_𝐴 ≥𝐹𝑆𝐷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114300</xdr:colOff>
      <xdr:row>85</xdr:row>
      <xdr:rowOff>0</xdr:rowOff>
    </xdr:from>
    <xdr:ext cx="771525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>
              <a:off x="311150" y="17145000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𝐹𝑆𝑉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11E5F6C-4820-47B5-BFDD-10654B092EEE}"/>
                </a:ext>
              </a:extLst>
            </xdr:cNvPr>
            <xdr:cNvSpPr txBox="1"/>
          </xdr:nvSpPr>
          <xdr:spPr>
            <a:xfrm>
              <a:off x="311150" y="17145000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𝑀_𝑟/𝑀_𝐴 ≥𝐹𝑆𝑉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11</xdr:col>
      <xdr:colOff>112941</xdr:colOff>
      <xdr:row>77</xdr:row>
      <xdr:rowOff>134370</xdr:rowOff>
    </xdr:from>
    <xdr:ext cx="942974" cy="209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>
              <a:off x="2278291" y="15755370"/>
              <a:ext cx="942974" cy="2095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𝑓</m:t>
                    </m:r>
                    <m:r>
                      <a:rPr lang="es-PE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𝑡𝑔</m:t>
                    </m:r>
                    <m:r>
                      <a:rPr lang="es-PE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∅≤0.60</m:t>
                    </m:r>
                  </m:oMath>
                </m:oMathPara>
              </a14:m>
              <a:endParaRPr lang="es-PE" sz="10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3B5AB72-3D4A-42D9-969A-61C79AA464C5}"/>
                </a:ext>
              </a:extLst>
            </xdr:cNvPr>
            <xdr:cNvSpPr txBox="1"/>
          </xdr:nvSpPr>
          <xdr:spPr>
            <a:xfrm>
              <a:off x="2278291" y="15755370"/>
              <a:ext cx="942974" cy="2095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:r>
                <a:rPr lang="es-PE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𝑓=𝑡𝑔∅≤0.60</a:t>
              </a:r>
              <a:endParaRPr lang="es-PE" sz="10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38100</xdr:colOff>
      <xdr:row>97</xdr:row>
      <xdr:rowOff>142875</xdr:rowOff>
    </xdr:from>
    <xdr:ext cx="771525" cy="3429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>
              <a:off x="234950" y="19573875"/>
              <a:ext cx="771525" cy="3429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num>
                      <m:den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es-PE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</m:t>
                        </m:r>
                      </m:sub>
                    </m:sSub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FC958E8-9F72-4C79-91E7-8F7766C18797}"/>
                </a:ext>
              </a:extLst>
            </xdr:cNvPr>
            <xdr:cNvSpPr txBox="1"/>
          </xdr:nvSpPr>
          <xdr:spPr>
            <a:xfrm>
              <a:off x="234950" y="19573875"/>
              <a:ext cx="771525" cy="3429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𝑒=𝐵/2−𝑋_</a:t>
              </a:r>
              <a:r>
                <a:rPr lang="es-PE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𝑂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2</xdr:col>
      <xdr:colOff>9525</xdr:colOff>
      <xdr:row>93</xdr:row>
      <xdr:rowOff>15875</xdr:rowOff>
    </xdr:from>
    <xdr:ext cx="89535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 txBox="1"/>
          </xdr:nvSpPr>
          <xdr:spPr>
            <a:xfrm>
              <a:off x="403225" y="18710275"/>
              <a:ext cx="8953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es-PE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num>
                      <m:den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den>
                    </m:f>
                    <m:r>
                      <a:rPr lang="es-PE" sz="10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 txBox="1"/>
          </xdr:nvSpPr>
          <xdr:spPr>
            <a:xfrm>
              <a:off x="403225" y="18710275"/>
              <a:ext cx="8953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𝑋_</a:t>
              </a:r>
              <a:r>
                <a:rPr lang="es-PE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=(𝑀_𝑟−𝑀_𝐴)/𝑃</a:t>
              </a:r>
              <a:r>
                <a:rPr lang="es-PE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9525</xdr:colOff>
      <xdr:row>104</xdr:row>
      <xdr:rowOff>85725</xdr:rowOff>
    </xdr:from>
    <xdr:ext cx="1019176" cy="3714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 txBox="1"/>
          </xdr:nvSpPr>
          <xdr:spPr>
            <a:xfrm>
              <a:off x="1584325" y="20850225"/>
              <a:ext cx="1019176" cy="3714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𝜎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num>
                      <m:den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den>
                    </m:f>
                    <m:d>
                      <m:dPr>
                        <m:begChr m:val="["/>
                        <m:endChr m:val="]"/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1±</m:t>
                        </m:r>
                        <m:f>
                          <m:f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6∗</m:t>
                            </m:r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num>
                          <m:den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𝐵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BC05EB1-5334-418E-83DC-DB0AA4A6C723}"/>
                </a:ext>
              </a:extLst>
            </xdr:cNvPr>
            <xdr:cNvSpPr txBox="1"/>
          </xdr:nvSpPr>
          <xdr:spPr>
            <a:xfrm>
              <a:off x="1584325" y="20850225"/>
              <a:ext cx="1019176" cy="3714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𝜎=𝑃/𝐵 [1±(6∗𝑒)/𝐵]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114300</xdr:colOff>
      <xdr:row>100</xdr:row>
      <xdr:rowOff>133350</xdr:rowOff>
    </xdr:from>
    <xdr:ext cx="533399" cy="2762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SpPr txBox="1"/>
          </xdr:nvSpPr>
          <xdr:spPr>
            <a:xfrm>
              <a:off x="1689100" y="20135850"/>
              <a:ext cx="533399" cy="276226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</m:t>
                    </m:r>
                    <m:r>
                      <a:rPr lang="es-PE" sz="10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</m:t>
                    </m:r>
                    <m:f>
                      <m:fPr>
                        <m:ctrlPr>
                          <a:rPr lang="es-PE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num>
                      <m:den>
                        <m:r>
                          <a:rPr lang="es-PE" sz="1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</m:t>
                        </m:r>
                      </m:den>
                    </m:f>
                    <m:r>
                      <a:rPr lang="es-PE" sz="10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21CF261A-C437-4F67-BADE-61DDDA0916B1}"/>
                </a:ext>
              </a:extLst>
            </xdr:cNvPr>
            <xdr:cNvSpPr txBox="1"/>
          </xdr:nvSpPr>
          <xdr:spPr>
            <a:xfrm>
              <a:off x="1689100" y="20135850"/>
              <a:ext cx="533399" cy="276226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𝑒</a:t>
              </a:r>
              <a:r>
                <a:rPr lang="es-PE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&lt;𝐵/6=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1</xdr:col>
      <xdr:colOff>123825</xdr:colOff>
      <xdr:row>107</xdr:row>
      <xdr:rowOff>171449</xdr:rowOff>
    </xdr:from>
    <xdr:to>
      <xdr:col>3</xdr:col>
      <xdr:colOff>104775</xdr:colOff>
      <xdr:row>109</xdr:row>
      <xdr:rowOff>0</xdr:rowOff>
    </xdr:to>
    <xdr:sp macro="" textlink="">
      <xdr:nvSpPr>
        <xdr:cNvPr id="12" name="Flecha a la derecha con bandas 2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20675" y="21507449"/>
          <a:ext cx="374650" cy="209551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190498</xdr:colOff>
      <xdr:row>112</xdr:row>
      <xdr:rowOff>138108</xdr:rowOff>
    </xdr:from>
    <xdr:to>
      <xdr:col>28</xdr:col>
      <xdr:colOff>133350</xdr:colOff>
      <xdr:row>144</xdr:row>
      <xdr:rowOff>152400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57150</xdr:colOff>
      <xdr:row>34</xdr:row>
      <xdr:rowOff>22225</xdr:rowOff>
    </xdr:from>
    <xdr:ext cx="2284793" cy="400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 txBox="1"/>
          </xdr:nvSpPr>
          <xdr:spPr>
            <a:xfrm>
              <a:off x="254000" y="7451725"/>
              <a:ext cx="2284793" cy="400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b="0" i="1">
                        <a:latin typeface="Cambria Math" panose="02040503050406030204" pitchFamily="18" charset="0"/>
                      </a:rPr>
                      <m:t>𝐾𝑎</m:t>
                    </m:r>
                    <m:r>
                      <a:rPr lang="es-PE" sz="1000" b="0" i="1">
                        <a:latin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lang="es-PE" sz="10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s-PE" sz="1000" b="0" i="0">
                            <a:latin typeface="Cambria Math" panose="02040503050406030204" pitchFamily="18" charset="0"/>
                          </a:rPr>
                          <m:t>cos</m:t>
                        </m:r>
                      </m:fName>
                      <m:e>
                        <m:r>
                          <a:rPr lang="es-PE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  <m:r>
                          <a:rPr lang="es-PE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es-PE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s-PE" sz="10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func>
                                  <m:funcPr>
                                    <m:ctrlPr>
                                      <a:rPr lang="es-PE" sz="1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funcPr>
                                  <m:fName>
                                    <m:r>
                                      <m:rPr>
                                        <m:sty m:val="p"/>
                                      </m:rPr>
                                      <a:rPr lang="es-PE" sz="10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cos</m:t>
                                    </m:r>
                                  </m:fName>
                                  <m:e>
                                    <m:r>
                                      <a:rPr lang="es-PE" sz="1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𝛽</m:t>
                                    </m:r>
                                    <m:r>
                                      <a:rPr lang="es-PE" sz="1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−</m:t>
                                    </m:r>
                                    <m:rad>
                                      <m:radPr>
                                        <m:degHide m:val="on"/>
                                        <m:ctrlPr>
                                          <a:rPr lang="es-PE" sz="10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sSup>
                                          <m:sSupPr>
                                            <m:ctrlPr>
                                              <a:rPr lang="es-PE" sz="1000" b="0" i="1"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func>
                                              <m:funcPr>
                                                <m:ctrlPr>
                                                  <a:rPr lang="es-PE" sz="1000" b="0" i="1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</m:ctrlPr>
                                              </m:funcPr>
                                              <m:fName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lang="es-PE" sz="1000" b="0" i="0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  <m:t>cos</m:t>
                                                </m:r>
                                              </m:fName>
                                              <m:e>
                                                <m:r>
                                                  <a:rPr lang="es-PE" sz="1000" b="0" i="1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  <m:t>𝛽</m:t>
                                                </m:r>
                                              </m:e>
                                            </m:func>
                                          </m:e>
                                          <m:sup>
                                            <m:r>
                                              <a:rPr lang="es-PE" sz="1000" b="0" i="1"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</a:rPr>
                                              <m:t>2</m:t>
                                            </m:r>
                                          </m:sup>
                                        </m:sSup>
                                        <m:r>
                                          <a:rPr lang="es-PE" sz="10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−</m:t>
                                        </m:r>
                                        <m:sSup>
                                          <m:sSupPr>
                                            <m:ctrlPr>
                                              <a:rPr lang="es-PE" sz="1000" b="0" i="1"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func>
                                              <m:funcPr>
                                                <m:ctrlPr>
                                                  <a:rPr lang="es-PE" sz="1000" b="0" i="1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</m:ctrlPr>
                                              </m:funcPr>
                                              <m:fName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lang="es-PE" sz="1000" b="0" i="0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  <m:t>cos</m:t>
                                                </m:r>
                                              </m:fName>
                                              <m:e>
                                                <m:r>
                                                  <a:rPr lang="es-PE" sz="1000" b="0" i="1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  <m:t>∅</m:t>
                                                </m:r>
                                              </m:e>
                                            </m:func>
                                          </m:e>
                                          <m:sup>
                                            <m:r>
                                              <a:rPr lang="es-PE" sz="1000" b="0" i="1"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</a:rPr>
                                              <m:t>2</m:t>
                                            </m:r>
                                          </m:sup>
                                        </m:sSup>
                                      </m:e>
                                    </m:rad>
                                  </m:e>
                                </m:func>
                              </m:num>
                              <m:den>
                                <m:func>
                                  <m:funcPr>
                                    <m:ctrlPr>
                                      <a:rPr lang="es-PE" sz="1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funcPr>
                                  <m:fName>
                                    <m:r>
                                      <m:rPr>
                                        <m:sty m:val="p"/>
                                      </m:rPr>
                                      <a:rPr lang="es-PE" sz="1000" b="0" i="0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cos</m:t>
                                    </m:r>
                                  </m:fName>
                                  <m:e>
                                    <m:r>
                                      <a:rPr lang="es-PE" sz="1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𝛽</m:t>
                                    </m:r>
                                    <m:r>
                                      <a:rPr lang="es-PE" sz="1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+</m:t>
                                    </m:r>
                                    <m:rad>
                                      <m:radPr>
                                        <m:degHide m:val="on"/>
                                        <m:ctrlPr>
                                          <a:rPr lang="es-PE" sz="10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sSup>
                                          <m:sSupPr>
                                            <m:ctrlPr>
                                              <a:rPr lang="es-PE" sz="1000" b="0" i="1"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func>
                                              <m:funcPr>
                                                <m:ctrlPr>
                                                  <a:rPr lang="es-PE" sz="1000" b="0" i="1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</m:ctrlPr>
                                              </m:funcPr>
                                              <m:fName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lang="es-PE" sz="1000" b="0" i="0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  <m:t>cos</m:t>
                                                </m:r>
                                              </m:fName>
                                              <m:e>
                                                <m:r>
                                                  <a:rPr lang="es-PE" sz="1000" b="0" i="1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  <m:t>𝛽</m:t>
                                                </m:r>
                                              </m:e>
                                            </m:func>
                                          </m:e>
                                          <m:sup>
                                            <m:r>
                                              <a:rPr lang="es-PE" sz="1000" b="0" i="1"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</a:rPr>
                                              <m:t>2</m:t>
                                            </m:r>
                                          </m:sup>
                                        </m:sSup>
                                        <m:r>
                                          <a:rPr lang="es-PE" sz="10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−</m:t>
                                        </m:r>
                                        <m:sSup>
                                          <m:sSupPr>
                                            <m:ctrlPr>
                                              <a:rPr lang="es-PE" sz="1000" b="0" i="1"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func>
                                              <m:funcPr>
                                                <m:ctrlPr>
                                                  <a:rPr lang="es-PE" sz="1000" b="0" i="1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</m:ctrlPr>
                                              </m:funcPr>
                                              <m:fName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lang="es-PE" sz="1000" b="0" i="0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  <m:t>cos</m:t>
                                                </m:r>
                                              </m:fName>
                                              <m:e>
                                                <m:r>
                                                  <a:rPr lang="es-PE" sz="1000" b="0" i="1">
                                                    <a:latin typeface="Cambria Math" panose="02040503050406030204" pitchFamily="18" charset="0"/>
                                                    <a:ea typeface="Cambria Math" panose="02040503050406030204" pitchFamily="18" charset="0"/>
                                                  </a:rPr>
                                                  <m:t>∅</m:t>
                                                </m:r>
                                              </m:e>
                                            </m:func>
                                          </m:e>
                                          <m:sup>
                                            <m:r>
                                              <a:rPr lang="es-PE" sz="1000" b="0" i="1"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</a:rPr>
                                              <m:t>2</m:t>
                                            </m:r>
                                          </m:sup>
                                        </m:sSup>
                                      </m:e>
                                    </m:rad>
                                  </m:e>
                                </m:func>
                              </m:den>
                            </m:f>
                          </m:e>
                        </m:d>
                      </m:e>
                    </m:func>
                  </m:oMath>
                </m:oMathPara>
              </a14:m>
              <a:endParaRPr lang="es-PE" sz="10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6A5AF9F-D2D2-41EA-AB54-C23C1468B07F}"/>
                </a:ext>
              </a:extLst>
            </xdr:cNvPr>
            <xdr:cNvSpPr txBox="1"/>
          </xdr:nvSpPr>
          <xdr:spPr>
            <a:xfrm>
              <a:off x="254000" y="7451725"/>
              <a:ext cx="2284793" cy="400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b="0" i="0">
                  <a:latin typeface="Cambria Math" panose="02040503050406030204" pitchFamily="18" charset="0"/>
                </a:rPr>
                <a:t>𝐾𝑎=cos⁡〖</a:t>
              </a:r>
              <a:r>
                <a:rPr lang="es-PE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𝛽∗(cos⁡〖𝛽−√(〖cos⁡𝛽〗^2−〖cos⁡∅〗^2 )〗/cos⁡〖𝛽+√(〖cos⁡𝛽〗^2−〖cos⁡∅〗^2 )〗 )〗</a:t>
              </a:r>
              <a:endParaRPr lang="es-PE" sz="1000"/>
            </a:p>
          </xdr:txBody>
        </xdr:sp>
      </mc:Fallback>
    </mc:AlternateContent>
    <xdr:clientData/>
  </xdr:oneCellAnchor>
  <xdr:oneCellAnchor>
    <xdr:from>
      <xdr:col>2</xdr:col>
      <xdr:colOff>76200</xdr:colOff>
      <xdr:row>46</xdr:row>
      <xdr:rowOff>142875</xdr:rowOff>
    </xdr:from>
    <xdr:ext cx="564001" cy="2880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00000000-0008-0000-0400-000016000000}"/>
                </a:ext>
              </a:extLst>
            </xdr:cNvPr>
            <xdr:cNvSpPr txBox="1"/>
          </xdr:nvSpPr>
          <xdr:spPr>
            <a:xfrm>
              <a:off x="469900" y="9858375"/>
              <a:ext cx="564001" cy="288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b="0" i="1">
                        <a:latin typeface="Cambria Math" panose="02040503050406030204" pitchFamily="18" charset="0"/>
                      </a:rPr>
                      <m:t>𝑌</m:t>
                    </m:r>
                    <m:r>
                      <a:rPr lang="es-PE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0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e>
                          <m:sub>
                            <m:r>
                              <a:rPr lang="es-PE" sz="10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sub>
                        </m:sSub>
                      </m:num>
                      <m:den>
                        <m:r>
                          <a:rPr lang="es-PE" sz="10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  <m:r>
                      <a:rPr lang="es-PE" sz="10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6B7CB938-0D09-42BB-B690-DB234F9227A4}"/>
                </a:ext>
              </a:extLst>
            </xdr:cNvPr>
            <xdr:cNvSpPr txBox="1"/>
          </xdr:nvSpPr>
          <xdr:spPr>
            <a:xfrm>
              <a:off x="469900" y="9858375"/>
              <a:ext cx="564001" cy="288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b="0" i="0">
                  <a:latin typeface="Cambria Math" panose="02040503050406030204" pitchFamily="18" charset="0"/>
                </a:rPr>
                <a:t>𝑌=𝐻_𝑇/3=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1</xdr:col>
      <xdr:colOff>180975</xdr:colOff>
      <xdr:row>40</xdr:row>
      <xdr:rowOff>104775</xdr:rowOff>
    </xdr:from>
    <xdr:ext cx="1295400" cy="32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00000000-0008-0000-0400-000017000000}"/>
                </a:ext>
              </a:extLst>
            </xdr:cNvPr>
            <xdr:cNvSpPr txBox="1"/>
          </xdr:nvSpPr>
          <xdr:spPr>
            <a:xfrm>
              <a:off x="377825" y="8677275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p>
                      <m:sSup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e>
                          <m:sub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sub>
                        </m:sSub>
                      </m:e>
                      <m:sup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A07C786D-B909-4B1B-9962-D698EE9E8899}"/>
                </a:ext>
              </a:extLst>
            </xdr:cNvPr>
            <xdr:cNvSpPr txBox="1"/>
          </xdr:nvSpPr>
          <xdr:spPr>
            <a:xfrm>
              <a:off x="377825" y="8677275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𝐸_𝐴=1/2∗𝐾_𝑎∗𝛾_𝑆∗〖</a:t>
              </a:r>
              <a:r>
                <a:rPr lang="es-PE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𝐻_𝑇〗^</a:t>
              </a:r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30</xdr:col>
      <xdr:colOff>101913</xdr:colOff>
      <xdr:row>29</xdr:row>
      <xdr:rowOff>86166</xdr:rowOff>
    </xdr:from>
    <xdr:to>
      <xdr:col>41</xdr:col>
      <xdr:colOff>156790</xdr:colOff>
      <xdr:row>40</xdr:row>
      <xdr:rowOff>185743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pSpPr/>
      </xdr:nvGrpSpPr>
      <xdr:grpSpPr>
        <a:xfrm>
          <a:off x="5931213" y="5610666"/>
          <a:ext cx="2255152" cy="2195077"/>
          <a:chOff x="4935748" y="8987632"/>
          <a:chExt cx="2928412" cy="2261199"/>
        </a:xfrm>
      </xdr:grpSpPr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GrpSpPr/>
        </xdr:nvGrpSpPr>
        <xdr:grpSpPr>
          <a:xfrm>
            <a:off x="4935748" y="8987632"/>
            <a:ext cx="2928412" cy="2038350"/>
            <a:chOff x="9363829" y="24743351"/>
            <a:chExt cx="3429204" cy="3095625"/>
          </a:xfrm>
        </xdr:grpSpPr>
        <xdr:graphicFrame macro="">
          <xdr:nvGraphicFramePr>
            <xdr:cNvPr id="27" name="Gráfico 26">
              <a:extLst>
                <a:ext uri="{FF2B5EF4-FFF2-40B4-BE49-F238E27FC236}">
                  <a16:creationId xmlns:a16="http://schemas.microsoft.com/office/drawing/2014/main" id="{00000000-0008-0000-0400-00001B000000}"/>
                </a:ext>
              </a:extLst>
            </xdr:cNvPr>
            <xdr:cNvGraphicFramePr/>
          </xdr:nvGraphicFramePr>
          <xdr:xfrm>
            <a:off x="11402383" y="24743351"/>
            <a:ext cx="1390650" cy="30956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28" name="CuadroTexto 27">
              <a:extLst>
                <a:ext uri="{FF2B5EF4-FFF2-40B4-BE49-F238E27FC236}">
                  <a16:creationId xmlns:a16="http://schemas.microsoft.com/office/drawing/2014/main" id="{00000000-0008-0000-0400-00001C000000}"/>
                </a:ext>
              </a:extLst>
            </xdr:cNvPr>
            <xdr:cNvSpPr txBox="1"/>
          </xdr:nvSpPr>
          <xdr:spPr>
            <a:xfrm>
              <a:off x="9363829" y="27389521"/>
              <a:ext cx="255614" cy="3145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0"/>
            <a:lstStyle/>
            <a:p>
              <a:pPr algn="ctr"/>
              <a:r>
                <a:rPr lang="es-PE" sz="1000" b="1">
                  <a:latin typeface="Century Gothic" panose="020B0502020202020204" pitchFamily="34" charset="0"/>
                </a:rPr>
                <a:t>E</a:t>
              </a:r>
              <a:r>
                <a:rPr lang="es-PE" sz="1000" b="1" baseline="-25000">
                  <a:latin typeface="Century Gothic" panose="020B0502020202020204" pitchFamily="34" charset="0"/>
                </a:rPr>
                <a:t>A</a:t>
              </a:r>
            </a:p>
          </xdr:txBody>
        </xdr:sp>
      </xdr:grpSp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 txBox="1"/>
        </xdr:nvSpPr>
        <xdr:spPr>
          <a:xfrm flipH="1">
            <a:off x="5068210" y="10981065"/>
            <a:ext cx="109482" cy="2677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r>
              <a:rPr lang="es-PE" sz="1000" b="1">
                <a:latin typeface="Century Gothic" panose="020B0502020202020204" pitchFamily="34" charset="0"/>
              </a:rPr>
              <a:t>Y</a:t>
            </a:r>
            <a:endParaRPr lang="es-PE" sz="1000" b="1" baseline="-25000">
              <a:latin typeface="Century Gothic" panose="020B0502020202020204" pitchFamily="34" charset="0"/>
            </a:endParaRPr>
          </a:p>
        </xdr:txBody>
      </xdr:sp>
    </xdr:grpSp>
    <xdr:clientData/>
  </xdr:twoCellAnchor>
  <xdr:oneCellAnchor>
    <xdr:from>
      <xdr:col>11</xdr:col>
      <xdr:colOff>133350</xdr:colOff>
      <xdr:row>79</xdr:row>
      <xdr:rowOff>9525</xdr:rowOff>
    </xdr:from>
    <xdr:ext cx="23474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CuadroTexto 29">
              <a:extLst>
                <a:ext uri="{FF2B5EF4-FFF2-40B4-BE49-F238E27FC236}">
                  <a16:creationId xmlns:a16="http://schemas.microsoft.com/office/drawing/2014/main" id="{00000000-0008-0000-0400-00001E000000}"/>
                </a:ext>
              </a:extLst>
            </xdr:cNvPr>
            <xdr:cNvSpPr txBox="1"/>
          </xdr:nvSpPr>
          <xdr:spPr>
            <a:xfrm>
              <a:off x="2298700" y="16011525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b="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es-PE" sz="10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0" name="CuadroTexto 29">
              <a:extLst>
                <a:ext uri="{FF2B5EF4-FFF2-40B4-BE49-F238E27FC236}">
                  <a16:creationId xmlns:a16="http://schemas.microsoft.com/office/drawing/2014/main" id="{B13DD7C2-316E-4C49-82AE-96F28047D740}"/>
                </a:ext>
              </a:extLst>
            </xdr:cNvPr>
            <xdr:cNvSpPr txBox="1"/>
          </xdr:nvSpPr>
          <xdr:spPr>
            <a:xfrm>
              <a:off x="2298700" y="16011525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b="0" i="0">
                  <a:latin typeface="Cambria Math" panose="02040503050406030204" pitchFamily="18" charset="0"/>
                </a:rPr>
                <a:t>𝑓=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33</xdr:col>
      <xdr:colOff>33197</xdr:colOff>
      <xdr:row>40</xdr:row>
      <xdr:rowOff>149610</xdr:rowOff>
    </xdr:from>
    <xdr:to>
      <xdr:col>33</xdr:col>
      <xdr:colOff>33197</xdr:colOff>
      <xdr:row>43</xdr:row>
      <xdr:rowOff>140086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6814370" y="8616277"/>
          <a:ext cx="0" cy="5549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115166</xdr:colOff>
      <xdr:row>157</xdr:row>
      <xdr:rowOff>0</xdr:rowOff>
    </xdr:from>
    <xdr:to>
      <xdr:col>6</xdr:col>
      <xdr:colOff>153266</xdr:colOff>
      <xdr:row>157</xdr:row>
      <xdr:rowOff>0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894484" y="31143864"/>
          <a:ext cx="427759" cy="0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61383</xdr:colOff>
      <xdr:row>18</xdr:row>
      <xdr:rowOff>124884</xdr:rowOff>
    </xdr:from>
    <xdr:ext cx="862287" cy="2881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CuadroTexto 32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 txBox="1"/>
          </xdr:nvSpPr>
          <xdr:spPr>
            <a:xfrm>
              <a:off x="4588933" y="4506384"/>
              <a:ext cx="86228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b="0" i="1">
                        <a:latin typeface="Cambria Math" panose="02040503050406030204" pitchFamily="18" charset="0"/>
                      </a:rPr>
                      <m:t>𝐵</m:t>
                    </m:r>
                    <m:r>
                      <a:rPr lang="es-PE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0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s-PE" sz="1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lang="es-PE" sz="1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PE" sz="1000" b="0" i="1">
                            <a:latin typeface="Cambria Math" panose="02040503050406030204" pitchFamily="18" charset="0"/>
                          </a:rPr>
                          <m:t>1+</m:t>
                        </m:r>
                        <m:sSub>
                          <m:sSubPr>
                            <m:ctrlPr>
                              <a:rPr lang="es-PE" sz="1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0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e>
                          <m:sub>
                            <m:r>
                              <a:rPr lang="es-PE" sz="10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3" name="CuadroTexto 32">
              <a:extLst>
                <a:ext uri="{FF2B5EF4-FFF2-40B4-BE49-F238E27FC236}">
                  <a16:creationId xmlns:a16="http://schemas.microsoft.com/office/drawing/2014/main" id="{33131A25-8A13-4175-87CB-3C8FD6991937}"/>
                </a:ext>
              </a:extLst>
            </xdr:cNvPr>
            <xdr:cNvSpPr txBox="1"/>
          </xdr:nvSpPr>
          <xdr:spPr>
            <a:xfrm>
              <a:off x="4588933" y="4506384"/>
              <a:ext cx="862287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b="0" i="0">
                  <a:latin typeface="Cambria Math" panose="02040503050406030204" pitchFamily="18" charset="0"/>
                </a:rPr>
                <a:t>𝐵=1/2 (1+𝐻_𝑇 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7</xdr:col>
      <xdr:colOff>116416</xdr:colOff>
      <xdr:row>152</xdr:row>
      <xdr:rowOff>42333</xdr:rowOff>
    </xdr:from>
    <xdr:to>
      <xdr:col>7</xdr:col>
      <xdr:colOff>116416</xdr:colOff>
      <xdr:row>155</xdr:row>
      <xdr:rowOff>156633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 rot="5400000">
          <a:off x="1151466" y="31055733"/>
          <a:ext cx="685800" cy="0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155</xdr:row>
      <xdr:rowOff>116320</xdr:rowOff>
    </xdr:from>
    <xdr:to>
      <xdr:col>7</xdr:col>
      <xdr:colOff>17533</xdr:colOff>
      <xdr:row>156</xdr:row>
      <xdr:rowOff>7330</xdr:rowOff>
    </xdr:to>
    <xdr:sp macro="" textlink="">
      <xdr:nvSpPr>
        <xdr:cNvPr id="42" name="Elips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1292802" y="30884956"/>
          <a:ext cx="88538" cy="78624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114300</xdr:colOff>
      <xdr:row>154</xdr:row>
      <xdr:rowOff>9525</xdr:rowOff>
    </xdr:from>
    <xdr:to>
      <xdr:col>4</xdr:col>
      <xdr:colOff>114300</xdr:colOff>
      <xdr:row>156</xdr:row>
      <xdr:rowOff>171450</xdr:rowOff>
    </xdr:to>
    <xdr:cxnSp macro="">
      <xdr:nvCxnSpPr>
        <xdr:cNvPr id="43" name="Conector recto de flecha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CxnSpPr/>
      </xdr:nvCxnSpPr>
      <xdr:spPr>
        <a:xfrm>
          <a:off x="901700" y="31061025"/>
          <a:ext cx="0" cy="542925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28575</xdr:colOff>
      <xdr:row>152</xdr:row>
      <xdr:rowOff>133350</xdr:rowOff>
    </xdr:from>
    <xdr:ext cx="258469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CuadroTexto 43">
              <a:extLst>
                <a:ext uri="{FF2B5EF4-FFF2-40B4-BE49-F238E27FC236}">
                  <a16:creationId xmlns:a16="http://schemas.microsoft.com/office/drawing/2014/main" id="{00000000-0008-0000-0400-00002C000000}"/>
                </a:ext>
              </a:extLst>
            </xdr:cNvPr>
            <xdr:cNvSpPr txBox="1"/>
          </xdr:nvSpPr>
          <xdr:spPr>
            <a:xfrm>
              <a:off x="807893" y="30339145"/>
              <a:ext cx="258469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𝑨𝑰𝑿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44" name="CuadroTexto 43">
              <a:extLst>
                <a:ext uri="{FF2B5EF4-FFF2-40B4-BE49-F238E27FC236}">
                  <a16:creationId xmlns:a16="http://schemas.microsoft.com/office/drawing/2014/main" id="{EB7A9F7C-677F-4350-B86A-4B6536D68F6E}"/>
                </a:ext>
              </a:extLst>
            </xdr:cNvPr>
            <xdr:cNvSpPr txBox="1"/>
          </xdr:nvSpPr>
          <xdr:spPr>
            <a:xfrm>
              <a:off x="807893" y="30339145"/>
              <a:ext cx="258469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𝑨𝑰𝑿</a:t>
              </a:r>
              <a:endParaRPr lang="en-US" sz="1000" b="1"/>
            </a:p>
          </xdr:txBody>
        </xdr:sp>
      </mc:Fallback>
    </mc:AlternateContent>
    <xdr:clientData/>
  </xdr:oneCellAnchor>
  <xdr:oneCellAnchor>
    <xdr:from>
      <xdr:col>15</xdr:col>
      <xdr:colOff>66675</xdr:colOff>
      <xdr:row>156</xdr:row>
      <xdr:rowOff>104775</xdr:rowOff>
    </xdr:from>
    <xdr:ext cx="1295400" cy="32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CuadroTexto 44">
              <a:extLst>
                <a:ext uri="{FF2B5EF4-FFF2-40B4-BE49-F238E27FC236}">
                  <a16:creationId xmlns:a16="http://schemas.microsoft.com/office/drawing/2014/main" id="{00000000-0008-0000-0400-00002D000000}"/>
                </a:ext>
              </a:extLst>
            </xdr:cNvPr>
            <xdr:cNvSpPr txBox="1"/>
          </xdr:nvSpPr>
          <xdr:spPr>
            <a:xfrm>
              <a:off x="3019425" y="31537275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p>
                      <m:sSup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e>
                          <m:sub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sub>
                        </m:sSub>
                      </m:e>
                      <m:sup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5" name="CuadroTexto 44">
              <a:extLst>
                <a:ext uri="{FF2B5EF4-FFF2-40B4-BE49-F238E27FC236}">
                  <a16:creationId xmlns:a16="http://schemas.microsoft.com/office/drawing/2014/main" id="{D57B7FD2-E9B6-4384-A954-2D3A8E6DCD9F}"/>
                </a:ext>
              </a:extLst>
            </xdr:cNvPr>
            <xdr:cNvSpPr txBox="1"/>
          </xdr:nvSpPr>
          <xdr:spPr>
            <a:xfrm>
              <a:off x="3019425" y="31537275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𝐸_𝐴=1/2∗𝐾_𝑎∗𝛾_𝑆∗〖</a:t>
              </a:r>
              <a:r>
                <a:rPr lang="es-PE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𝐻_𝑇〗^</a:t>
              </a:r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15</xdr:col>
      <xdr:colOff>0</xdr:colOff>
      <xdr:row>158</xdr:row>
      <xdr:rowOff>161925</xdr:rowOff>
    </xdr:from>
    <xdr:ext cx="800100" cy="219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CuadroTexto 45">
              <a:extLst>
                <a:ext uri="{FF2B5EF4-FFF2-40B4-BE49-F238E27FC236}">
                  <a16:creationId xmlns:a16="http://schemas.microsoft.com/office/drawing/2014/main" id="{00000000-0008-0000-0400-00002E000000}"/>
                </a:ext>
              </a:extLst>
            </xdr:cNvPr>
            <xdr:cNvSpPr txBox="1"/>
          </xdr:nvSpPr>
          <xdr:spPr>
            <a:xfrm>
              <a:off x="2952750" y="31975425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𝑌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6" name="CuadroTexto 45">
              <a:extLst>
                <a:ext uri="{FF2B5EF4-FFF2-40B4-BE49-F238E27FC236}">
                  <a16:creationId xmlns:a16="http://schemas.microsoft.com/office/drawing/2014/main" id="{4A84E1CC-01B4-4A48-A7B1-2246EB7F6140}"/>
                </a:ext>
              </a:extLst>
            </xdr:cNvPr>
            <xdr:cNvSpPr txBox="1"/>
          </xdr:nvSpPr>
          <xdr:spPr>
            <a:xfrm>
              <a:off x="2952750" y="31975425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𝑀_𝐴=𝐸_𝐴∗𝑌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152401</xdr:colOff>
      <xdr:row>162</xdr:row>
      <xdr:rowOff>95250</xdr:rowOff>
    </xdr:from>
    <xdr:ext cx="81915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CuadroTexto 46">
              <a:extLst>
                <a:ext uri="{FF2B5EF4-FFF2-40B4-BE49-F238E27FC236}">
                  <a16:creationId xmlns:a16="http://schemas.microsoft.com/office/drawing/2014/main" id="{00000000-0008-0000-0400-00002F000000}"/>
                </a:ext>
              </a:extLst>
            </xdr:cNvPr>
            <xdr:cNvSpPr txBox="1"/>
          </xdr:nvSpPr>
          <xdr:spPr>
            <a:xfrm>
              <a:off x="349251" y="32670750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𝐹𝑆𝐷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7" name="CuadroTexto 46">
              <a:extLst>
                <a:ext uri="{FF2B5EF4-FFF2-40B4-BE49-F238E27FC236}">
                  <a16:creationId xmlns:a16="http://schemas.microsoft.com/office/drawing/2014/main" id="{48ED0DC2-70EE-4B31-9ED0-4C48D6E2943D}"/>
                </a:ext>
              </a:extLst>
            </xdr:cNvPr>
            <xdr:cNvSpPr txBox="1"/>
          </xdr:nvSpPr>
          <xdr:spPr>
            <a:xfrm>
              <a:off x="349251" y="32670750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(𝑓∗𝑃)/𝐸_𝐴 ≥𝐹𝑆𝐷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17</xdr:col>
      <xdr:colOff>114300</xdr:colOff>
      <xdr:row>162</xdr:row>
      <xdr:rowOff>66675</xdr:rowOff>
    </xdr:from>
    <xdr:ext cx="771525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CuadroTexto 47">
              <a:extLst>
                <a:ext uri="{FF2B5EF4-FFF2-40B4-BE49-F238E27FC236}">
                  <a16:creationId xmlns:a16="http://schemas.microsoft.com/office/drawing/2014/main" id="{00000000-0008-0000-0400-000030000000}"/>
                </a:ext>
              </a:extLst>
            </xdr:cNvPr>
            <xdr:cNvSpPr txBox="1"/>
          </xdr:nvSpPr>
          <xdr:spPr>
            <a:xfrm>
              <a:off x="3460750" y="32642175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𝐹𝑆𝑉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8" name="CuadroTexto 47">
              <a:extLst>
                <a:ext uri="{FF2B5EF4-FFF2-40B4-BE49-F238E27FC236}">
                  <a16:creationId xmlns:a16="http://schemas.microsoft.com/office/drawing/2014/main" id="{BA481E76-3889-4912-96E8-855141C50E98}"/>
                </a:ext>
              </a:extLst>
            </xdr:cNvPr>
            <xdr:cNvSpPr txBox="1"/>
          </xdr:nvSpPr>
          <xdr:spPr>
            <a:xfrm>
              <a:off x="3460750" y="32642175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𝑀_𝑟/𝑀_𝐴 ≥𝐹𝑆𝑉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133350</xdr:colOff>
      <xdr:row>163</xdr:row>
      <xdr:rowOff>9525</xdr:rowOff>
    </xdr:from>
    <xdr:ext cx="23474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CuadroTexto 48">
              <a:extLst>
                <a:ext uri="{FF2B5EF4-FFF2-40B4-BE49-F238E27FC236}">
                  <a16:creationId xmlns:a16="http://schemas.microsoft.com/office/drawing/2014/main" id="{00000000-0008-0000-0400-000031000000}"/>
                </a:ext>
              </a:extLst>
            </xdr:cNvPr>
            <xdr:cNvSpPr txBox="1"/>
          </xdr:nvSpPr>
          <xdr:spPr>
            <a:xfrm>
              <a:off x="1708150" y="32775525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b="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es-PE" sz="10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49" name="CuadroTexto 48">
              <a:extLst>
                <a:ext uri="{FF2B5EF4-FFF2-40B4-BE49-F238E27FC236}">
                  <a16:creationId xmlns:a16="http://schemas.microsoft.com/office/drawing/2014/main" id="{C22ADA5F-4AF2-4E13-8827-D951AACCA013}"/>
                </a:ext>
              </a:extLst>
            </xdr:cNvPr>
            <xdr:cNvSpPr txBox="1"/>
          </xdr:nvSpPr>
          <xdr:spPr>
            <a:xfrm>
              <a:off x="1708150" y="32775525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b="0" i="0">
                  <a:latin typeface="Cambria Math" panose="02040503050406030204" pitchFamily="18" charset="0"/>
                </a:rPr>
                <a:t>𝑓=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13386</xdr:colOff>
      <xdr:row>179</xdr:row>
      <xdr:rowOff>3922</xdr:rowOff>
    </xdr:from>
    <xdr:ext cx="37247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CuadroTexto 49">
              <a:extLst>
                <a:ext uri="{FF2B5EF4-FFF2-40B4-BE49-F238E27FC236}">
                  <a16:creationId xmlns:a16="http://schemas.microsoft.com/office/drawing/2014/main" id="{00000000-0008-0000-0400-000032000000}"/>
                </a:ext>
              </a:extLst>
            </xdr:cNvPr>
            <xdr:cNvSpPr txBox="1"/>
          </xdr:nvSpPr>
          <xdr:spPr>
            <a:xfrm>
              <a:off x="987534" y="34712445"/>
              <a:ext cx="372474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𝑩𝑽𝑰𝑰𝑰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50" name="CuadroTexto 49">
              <a:extLst>
                <a:ext uri="{FF2B5EF4-FFF2-40B4-BE49-F238E27FC236}">
                  <a16:creationId xmlns:a16="http://schemas.microsoft.com/office/drawing/2014/main" id="{AB5C430E-7FB8-4069-924A-04D83BA061B7}"/>
                </a:ext>
              </a:extLst>
            </xdr:cNvPr>
            <xdr:cNvSpPr txBox="1"/>
          </xdr:nvSpPr>
          <xdr:spPr>
            <a:xfrm>
              <a:off x="987534" y="34712445"/>
              <a:ext cx="372474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𝑩𝑽𝑰𝑰𝑰</a:t>
              </a:r>
              <a:endParaRPr lang="en-US" sz="1000" b="1"/>
            </a:p>
          </xdr:txBody>
        </xdr:sp>
      </mc:Fallback>
    </mc:AlternateContent>
    <xdr:clientData/>
  </xdr:oneCellAnchor>
  <xdr:twoCellAnchor>
    <xdr:from>
      <xdr:col>2</xdr:col>
      <xdr:colOff>28575</xdr:colOff>
      <xdr:row>151</xdr:row>
      <xdr:rowOff>104775</xdr:rowOff>
    </xdr:from>
    <xdr:to>
      <xdr:col>6</xdr:col>
      <xdr:colOff>142875</xdr:colOff>
      <xdr:row>151</xdr:row>
      <xdr:rowOff>104775</xdr:rowOff>
    </xdr:to>
    <xdr:cxnSp macro="">
      <xdr:nvCxnSpPr>
        <xdr:cNvPr id="51" name="Conector recto de flecha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CxnSpPr/>
      </xdr:nvCxnSpPr>
      <xdr:spPr>
        <a:xfrm>
          <a:off x="422275" y="30584775"/>
          <a:ext cx="901700" cy="0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116416</xdr:colOff>
      <xdr:row>174</xdr:row>
      <xdr:rowOff>42333</xdr:rowOff>
    </xdr:from>
    <xdr:to>
      <xdr:col>9</xdr:col>
      <xdr:colOff>116416</xdr:colOff>
      <xdr:row>177</xdr:row>
      <xdr:rowOff>156633</xdr:rowOff>
    </xdr:to>
    <xdr:cxnSp macro="">
      <xdr:nvCxnSpPr>
        <xdr:cNvPr id="52" name="Conector recto de flecha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CxnSpPr/>
      </xdr:nvCxnSpPr>
      <xdr:spPr>
        <a:xfrm rot="5400000">
          <a:off x="1545166" y="34675233"/>
          <a:ext cx="685800" cy="0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168735</xdr:colOff>
      <xdr:row>182</xdr:row>
      <xdr:rowOff>136288</xdr:rowOff>
    </xdr:from>
    <xdr:to>
      <xdr:col>9</xdr:col>
      <xdr:colOff>26266</xdr:colOff>
      <xdr:row>183</xdr:row>
      <xdr:rowOff>42718</xdr:rowOff>
    </xdr:to>
    <xdr:sp macro="" textlink="">
      <xdr:nvSpPr>
        <xdr:cNvPr id="53" name="Elipse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1727371" y="35407652"/>
          <a:ext cx="95656" cy="94043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80683</xdr:colOff>
      <xdr:row>175</xdr:row>
      <xdr:rowOff>188819</xdr:rowOff>
    </xdr:from>
    <xdr:to>
      <xdr:col>4</xdr:col>
      <xdr:colOff>80683</xdr:colOff>
      <xdr:row>177</xdr:row>
      <xdr:rowOff>104215</xdr:rowOff>
    </xdr:to>
    <xdr:cxnSp macro="">
      <xdr:nvCxnSpPr>
        <xdr:cNvPr id="54" name="Conector recto de flecha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CxnSpPr/>
      </xdr:nvCxnSpPr>
      <xdr:spPr>
        <a:xfrm>
          <a:off x="1261783" y="34669319"/>
          <a:ext cx="0" cy="296396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6163</xdr:colOff>
      <xdr:row>174</xdr:row>
      <xdr:rowOff>133350</xdr:rowOff>
    </xdr:from>
    <xdr:ext cx="25846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CuadroTexto 54">
              <a:extLst>
                <a:ext uri="{FF2B5EF4-FFF2-40B4-BE49-F238E27FC236}">
                  <a16:creationId xmlns:a16="http://schemas.microsoft.com/office/drawing/2014/main" id="{00000000-0008-0000-0400-000037000000}"/>
                </a:ext>
              </a:extLst>
            </xdr:cNvPr>
            <xdr:cNvSpPr txBox="1"/>
          </xdr:nvSpPr>
          <xdr:spPr>
            <a:xfrm>
              <a:off x="785481" y="33903805"/>
              <a:ext cx="258468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𝑨𝑰𝑿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55" name="CuadroTexto 54">
              <a:extLst>
                <a:ext uri="{FF2B5EF4-FFF2-40B4-BE49-F238E27FC236}">
                  <a16:creationId xmlns:a16="http://schemas.microsoft.com/office/drawing/2014/main" id="{DB3DB430-3DA0-42A6-B644-F7893D729DB6}"/>
                </a:ext>
              </a:extLst>
            </xdr:cNvPr>
            <xdr:cNvSpPr txBox="1"/>
          </xdr:nvSpPr>
          <xdr:spPr>
            <a:xfrm>
              <a:off x="785481" y="33903805"/>
              <a:ext cx="258468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𝑨𝑰𝑿</a:t>
              </a:r>
              <a:endParaRPr lang="es-MX" sz="1000" b="1"/>
            </a:p>
          </xdr:txBody>
        </xdr:sp>
      </mc:Fallback>
    </mc:AlternateContent>
    <xdr:clientData/>
  </xdr:oneCellAnchor>
  <xdr:twoCellAnchor>
    <xdr:from>
      <xdr:col>1</xdr:col>
      <xdr:colOff>187323</xdr:colOff>
      <xdr:row>173</xdr:row>
      <xdr:rowOff>79375</xdr:rowOff>
    </xdr:from>
    <xdr:to>
      <xdr:col>7</xdr:col>
      <xdr:colOff>14432</xdr:colOff>
      <xdr:row>173</xdr:row>
      <xdr:rowOff>83128</xdr:rowOff>
    </xdr:to>
    <xdr:cxnSp macro="">
      <xdr:nvCxnSpPr>
        <xdr:cNvPr id="56" name="Conector recto de flecha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CxnSpPr/>
      </xdr:nvCxnSpPr>
      <xdr:spPr>
        <a:xfrm flipV="1">
          <a:off x="382153" y="33662216"/>
          <a:ext cx="996086" cy="375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98612</xdr:colOff>
      <xdr:row>180</xdr:row>
      <xdr:rowOff>83484</xdr:rowOff>
    </xdr:from>
    <xdr:to>
      <xdr:col>5</xdr:col>
      <xdr:colOff>98612</xdr:colOff>
      <xdr:row>181</xdr:row>
      <xdr:rowOff>189380</xdr:rowOff>
    </xdr:to>
    <xdr:cxnSp macro="">
      <xdr:nvCxnSpPr>
        <xdr:cNvPr id="57" name="Conector recto de flecha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CxnSpPr/>
      </xdr:nvCxnSpPr>
      <xdr:spPr>
        <a:xfrm>
          <a:off x="1082862" y="35516484"/>
          <a:ext cx="0" cy="296396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178</xdr:row>
      <xdr:rowOff>38100</xdr:rowOff>
    </xdr:from>
    <xdr:to>
      <xdr:col>9</xdr:col>
      <xdr:colOff>114300</xdr:colOff>
      <xdr:row>182</xdr:row>
      <xdr:rowOff>152400</xdr:rowOff>
    </xdr:to>
    <xdr:cxnSp macro="">
      <xdr:nvCxnSpPr>
        <xdr:cNvPr id="58" name="Conector recto de flecha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CxnSpPr/>
      </xdr:nvCxnSpPr>
      <xdr:spPr>
        <a:xfrm rot="5400000">
          <a:off x="1447800" y="35528250"/>
          <a:ext cx="876300" cy="0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183</xdr:row>
      <xdr:rowOff>123825</xdr:rowOff>
    </xdr:from>
    <xdr:to>
      <xdr:col>8</xdr:col>
      <xdr:colOff>142875</xdr:colOff>
      <xdr:row>183</xdr:row>
      <xdr:rowOff>123825</xdr:rowOff>
    </xdr:to>
    <xdr:cxnSp macro="">
      <xdr:nvCxnSpPr>
        <xdr:cNvPr id="59" name="Conector recto de flecha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CxnSpPr/>
      </xdr:nvCxnSpPr>
      <xdr:spPr>
        <a:xfrm>
          <a:off x="422275" y="36128325"/>
          <a:ext cx="1295400" cy="0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66675</xdr:colOff>
      <xdr:row>181</xdr:row>
      <xdr:rowOff>104775</xdr:rowOff>
    </xdr:from>
    <xdr:ext cx="1295400" cy="32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0" name="CuadroTexto 59">
              <a:extLst>
                <a:ext uri="{FF2B5EF4-FFF2-40B4-BE49-F238E27FC236}">
                  <a16:creationId xmlns:a16="http://schemas.microsoft.com/office/drawing/2014/main" id="{00000000-0008-0000-0400-00003C000000}"/>
                </a:ext>
              </a:extLst>
            </xdr:cNvPr>
            <xdr:cNvSpPr txBox="1"/>
          </xdr:nvSpPr>
          <xdr:spPr>
            <a:xfrm>
              <a:off x="3413125" y="35728275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p>
                      <m:sSup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e>
                          <m:sub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sub>
                        </m:sSub>
                      </m:e>
                      <m:sup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0" name="CuadroTexto 59">
              <a:extLst>
                <a:ext uri="{FF2B5EF4-FFF2-40B4-BE49-F238E27FC236}">
                  <a16:creationId xmlns:a16="http://schemas.microsoft.com/office/drawing/2014/main" id="{C924CF4E-51AC-49C8-8DA7-944016E091E6}"/>
                </a:ext>
              </a:extLst>
            </xdr:cNvPr>
            <xdr:cNvSpPr txBox="1"/>
          </xdr:nvSpPr>
          <xdr:spPr>
            <a:xfrm>
              <a:off x="3413125" y="35728275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𝐸_𝐴=1/2∗𝐾_𝑎∗𝛾_𝑆∗〖</a:t>
              </a:r>
              <a:r>
                <a:rPr lang="es-PE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𝐻_𝑇〗^</a:t>
              </a:r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17</xdr:col>
      <xdr:colOff>0</xdr:colOff>
      <xdr:row>183</xdr:row>
      <xdr:rowOff>161925</xdr:rowOff>
    </xdr:from>
    <xdr:ext cx="800100" cy="219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1" name="CuadroTexto 60">
              <a:extLst>
                <a:ext uri="{FF2B5EF4-FFF2-40B4-BE49-F238E27FC236}">
                  <a16:creationId xmlns:a16="http://schemas.microsoft.com/office/drawing/2014/main" id="{00000000-0008-0000-0400-00003D000000}"/>
                </a:ext>
              </a:extLst>
            </xdr:cNvPr>
            <xdr:cNvSpPr txBox="1"/>
          </xdr:nvSpPr>
          <xdr:spPr>
            <a:xfrm>
              <a:off x="3346450" y="36166425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𝑌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1" name="CuadroTexto 60">
              <a:extLst>
                <a:ext uri="{FF2B5EF4-FFF2-40B4-BE49-F238E27FC236}">
                  <a16:creationId xmlns:a16="http://schemas.microsoft.com/office/drawing/2014/main" id="{541394FF-D841-4D05-9C5C-92C58E8483DD}"/>
                </a:ext>
              </a:extLst>
            </xdr:cNvPr>
            <xdr:cNvSpPr txBox="1"/>
          </xdr:nvSpPr>
          <xdr:spPr>
            <a:xfrm>
              <a:off x="3346450" y="36166425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𝑀_𝐴=𝐸_𝐴∗𝑌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7</xdr:col>
      <xdr:colOff>7216</xdr:colOff>
      <xdr:row>173</xdr:row>
      <xdr:rowOff>79375</xdr:rowOff>
    </xdr:from>
    <xdr:to>
      <xdr:col>9</xdr:col>
      <xdr:colOff>10932</xdr:colOff>
      <xdr:row>173</xdr:row>
      <xdr:rowOff>83128</xdr:rowOff>
    </xdr:to>
    <xdr:cxnSp macro="">
      <xdr:nvCxnSpPr>
        <xdr:cNvPr id="62" name="Conector recto de flecha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CxnSpPr/>
      </xdr:nvCxnSpPr>
      <xdr:spPr>
        <a:xfrm>
          <a:off x="1371023" y="33662216"/>
          <a:ext cx="393375" cy="375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152401</xdr:colOff>
      <xdr:row>187</xdr:row>
      <xdr:rowOff>95250</xdr:rowOff>
    </xdr:from>
    <xdr:ext cx="81915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CuadroTexto 62">
              <a:extLst>
                <a:ext uri="{FF2B5EF4-FFF2-40B4-BE49-F238E27FC236}">
                  <a16:creationId xmlns:a16="http://schemas.microsoft.com/office/drawing/2014/main" id="{00000000-0008-0000-0400-00003F000000}"/>
                </a:ext>
              </a:extLst>
            </xdr:cNvPr>
            <xdr:cNvSpPr txBox="1"/>
          </xdr:nvSpPr>
          <xdr:spPr>
            <a:xfrm>
              <a:off x="349251" y="36861750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𝐹𝑆𝐷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3" name="CuadroTexto 62">
              <a:extLst>
                <a:ext uri="{FF2B5EF4-FFF2-40B4-BE49-F238E27FC236}">
                  <a16:creationId xmlns:a16="http://schemas.microsoft.com/office/drawing/2014/main" id="{1838E624-58E2-417D-979C-6A8B132687C7}"/>
                </a:ext>
              </a:extLst>
            </xdr:cNvPr>
            <xdr:cNvSpPr txBox="1"/>
          </xdr:nvSpPr>
          <xdr:spPr>
            <a:xfrm>
              <a:off x="349251" y="36861750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(𝑓∗𝑃)/𝐸_𝐴 ≥𝐹𝑆𝐷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17</xdr:col>
      <xdr:colOff>114300</xdr:colOff>
      <xdr:row>187</xdr:row>
      <xdr:rowOff>66675</xdr:rowOff>
    </xdr:from>
    <xdr:ext cx="771525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CuadroTexto 63">
              <a:extLst>
                <a:ext uri="{FF2B5EF4-FFF2-40B4-BE49-F238E27FC236}">
                  <a16:creationId xmlns:a16="http://schemas.microsoft.com/office/drawing/2014/main" id="{00000000-0008-0000-0400-000040000000}"/>
                </a:ext>
              </a:extLst>
            </xdr:cNvPr>
            <xdr:cNvSpPr txBox="1"/>
          </xdr:nvSpPr>
          <xdr:spPr>
            <a:xfrm>
              <a:off x="3460750" y="36833175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𝐹𝑆𝑉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4" name="CuadroTexto 63">
              <a:extLst>
                <a:ext uri="{FF2B5EF4-FFF2-40B4-BE49-F238E27FC236}">
                  <a16:creationId xmlns:a16="http://schemas.microsoft.com/office/drawing/2014/main" id="{904DC182-6076-4AF8-ACA6-4FC889CF2148}"/>
                </a:ext>
              </a:extLst>
            </xdr:cNvPr>
            <xdr:cNvSpPr txBox="1"/>
          </xdr:nvSpPr>
          <xdr:spPr>
            <a:xfrm>
              <a:off x="3460750" y="36833175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𝑀_𝑟/𝑀_𝐴 ≥𝐹𝑆𝑉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133350</xdr:colOff>
      <xdr:row>188</xdr:row>
      <xdr:rowOff>9525</xdr:rowOff>
    </xdr:from>
    <xdr:ext cx="23474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CuadroTexto 64">
              <a:extLst>
                <a:ext uri="{FF2B5EF4-FFF2-40B4-BE49-F238E27FC236}">
                  <a16:creationId xmlns:a16="http://schemas.microsoft.com/office/drawing/2014/main" id="{00000000-0008-0000-0400-000041000000}"/>
                </a:ext>
              </a:extLst>
            </xdr:cNvPr>
            <xdr:cNvSpPr txBox="1"/>
          </xdr:nvSpPr>
          <xdr:spPr>
            <a:xfrm>
              <a:off x="1708150" y="36966525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b="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es-PE" sz="10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65" name="CuadroTexto 64">
              <a:extLst>
                <a:ext uri="{FF2B5EF4-FFF2-40B4-BE49-F238E27FC236}">
                  <a16:creationId xmlns:a16="http://schemas.microsoft.com/office/drawing/2014/main" id="{86A23846-D7F1-4328-8739-B9F6DFE026DA}"/>
                </a:ext>
              </a:extLst>
            </xdr:cNvPr>
            <xdr:cNvSpPr txBox="1"/>
          </xdr:nvSpPr>
          <xdr:spPr>
            <a:xfrm>
              <a:off x="1708150" y="36966525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b="0" i="0">
                  <a:latin typeface="Cambria Math" panose="02040503050406030204" pitchFamily="18" charset="0"/>
                </a:rPr>
                <a:t>𝑓=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37</xdr:col>
      <xdr:colOff>142875</xdr:colOff>
      <xdr:row>65</xdr:row>
      <xdr:rowOff>114300</xdr:rowOff>
    </xdr:from>
    <xdr:ext cx="15472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CuadroTexto 66">
              <a:extLst>
                <a:ext uri="{FF2B5EF4-FFF2-40B4-BE49-F238E27FC236}">
                  <a16:creationId xmlns:a16="http://schemas.microsoft.com/office/drawing/2014/main" id="{00000000-0008-0000-0400-000043000000}"/>
                </a:ext>
              </a:extLst>
            </xdr:cNvPr>
            <xdr:cNvSpPr txBox="1"/>
          </xdr:nvSpPr>
          <xdr:spPr>
            <a:xfrm>
              <a:off x="8512175" y="5829300"/>
              <a:ext cx="154722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1" i="1">
                        <a:latin typeface="Cambria Math" panose="02040503050406030204" pitchFamily="18" charset="0"/>
                      </a:rPr>
                      <m:t>𝑰𝑰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67" name="CuadroTexto 66">
              <a:extLst>
                <a:ext uri="{FF2B5EF4-FFF2-40B4-BE49-F238E27FC236}">
                  <a16:creationId xmlns:a16="http://schemas.microsoft.com/office/drawing/2014/main" id="{12D05E58-015F-4988-834F-89354AB5FC53}"/>
                </a:ext>
              </a:extLst>
            </xdr:cNvPr>
            <xdr:cNvSpPr txBox="1"/>
          </xdr:nvSpPr>
          <xdr:spPr>
            <a:xfrm>
              <a:off x="8512175" y="5829300"/>
              <a:ext cx="154722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1" i="0">
                  <a:latin typeface="Cambria Math" panose="02040503050406030204" pitchFamily="18" charset="0"/>
                </a:rPr>
                <a:t>𝑰𝑰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53</xdr:col>
      <xdr:colOff>142875</xdr:colOff>
      <xdr:row>14</xdr:row>
      <xdr:rowOff>114300</xdr:rowOff>
    </xdr:from>
    <xdr:ext cx="65" cy="172227"/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/>
      </xdr:nvSpPr>
      <xdr:spPr>
        <a:xfrm>
          <a:off x="11116469" y="3758935"/>
          <a:ext cx="65" cy="17222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 b="1"/>
        </a:p>
      </xdr:txBody>
    </xdr:sp>
    <xdr:clientData/>
  </xdr:oneCellAnchor>
  <xdr:twoCellAnchor>
    <xdr:from>
      <xdr:col>45</xdr:col>
      <xdr:colOff>136354</xdr:colOff>
      <xdr:row>67</xdr:row>
      <xdr:rowOff>118711</xdr:rowOff>
    </xdr:from>
    <xdr:to>
      <xdr:col>46</xdr:col>
      <xdr:colOff>30062</xdr:colOff>
      <xdr:row>68</xdr:row>
      <xdr:rowOff>9721</xdr:rowOff>
    </xdr:to>
    <xdr:sp macro="" textlink="">
      <xdr:nvSpPr>
        <xdr:cNvPr id="69" name="Elipse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9337504" y="13834711"/>
          <a:ext cx="90558" cy="8151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33</xdr:col>
      <xdr:colOff>142875</xdr:colOff>
      <xdr:row>65</xdr:row>
      <xdr:rowOff>114300</xdr:rowOff>
    </xdr:from>
    <xdr:ext cx="21614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CuadroTexto 69">
              <a:extLst>
                <a:ext uri="{FF2B5EF4-FFF2-40B4-BE49-F238E27FC236}">
                  <a16:creationId xmlns:a16="http://schemas.microsoft.com/office/drawing/2014/main" id="{00000000-0008-0000-0400-000046000000}"/>
                </a:ext>
              </a:extLst>
            </xdr:cNvPr>
            <xdr:cNvSpPr txBox="1"/>
          </xdr:nvSpPr>
          <xdr:spPr>
            <a:xfrm>
              <a:off x="9344025" y="5829300"/>
              <a:ext cx="21614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1" i="1">
                        <a:latin typeface="Cambria Math" panose="02040503050406030204" pitchFamily="18" charset="0"/>
                      </a:rPr>
                      <m:t>𝑰𝑰</m:t>
                    </m:r>
                    <m:r>
                      <a:rPr lang="es-MX" sz="1100" b="1" i="1">
                        <a:latin typeface="Cambria Math" panose="02040503050406030204" pitchFamily="18" charset="0"/>
                      </a:rPr>
                      <m:t>𝑰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70" name="CuadroTexto 69">
              <a:extLst>
                <a:ext uri="{FF2B5EF4-FFF2-40B4-BE49-F238E27FC236}">
                  <a16:creationId xmlns:a16="http://schemas.microsoft.com/office/drawing/2014/main" id="{E6919F1C-CFA9-4967-93CC-405453CBBAA6}"/>
                </a:ext>
              </a:extLst>
            </xdr:cNvPr>
            <xdr:cNvSpPr txBox="1"/>
          </xdr:nvSpPr>
          <xdr:spPr>
            <a:xfrm>
              <a:off x="9344025" y="5829300"/>
              <a:ext cx="21614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1" i="0">
                  <a:latin typeface="Cambria Math" panose="02040503050406030204" pitchFamily="18" charset="0"/>
                </a:rPr>
                <a:t>𝑰𝑰</a:t>
              </a:r>
              <a:r>
                <a:rPr lang="es-MX" sz="1100" b="1" i="0">
                  <a:latin typeface="Cambria Math" panose="02040503050406030204" pitchFamily="18" charset="0"/>
                </a:rPr>
                <a:t>𝑰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34</xdr:col>
      <xdr:colOff>58208</xdr:colOff>
      <xdr:row>61</xdr:row>
      <xdr:rowOff>104775</xdr:rowOff>
    </xdr:from>
    <xdr:ext cx="1234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CuadroTexto 70">
              <a:extLst>
                <a:ext uri="{FF2B5EF4-FFF2-40B4-BE49-F238E27FC236}">
                  <a16:creationId xmlns:a16="http://schemas.microsoft.com/office/drawing/2014/main" id="{00000000-0008-0000-0400-000047000000}"/>
                </a:ext>
              </a:extLst>
            </xdr:cNvPr>
            <xdr:cNvSpPr txBox="1"/>
          </xdr:nvSpPr>
          <xdr:spPr>
            <a:xfrm>
              <a:off x="9062508" y="5057775"/>
              <a:ext cx="123431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𝑽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71" name="CuadroTexto 70">
              <a:extLst>
                <a:ext uri="{FF2B5EF4-FFF2-40B4-BE49-F238E27FC236}">
                  <a16:creationId xmlns:a16="http://schemas.microsoft.com/office/drawing/2014/main" id="{50E86A40-E152-4540-AFAD-C9D516CB8302}"/>
                </a:ext>
              </a:extLst>
            </xdr:cNvPr>
            <xdr:cNvSpPr txBox="1"/>
          </xdr:nvSpPr>
          <xdr:spPr>
            <a:xfrm>
              <a:off x="9062508" y="5057775"/>
              <a:ext cx="123431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𝑽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39</xdr:col>
      <xdr:colOff>142875</xdr:colOff>
      <xdr:row>61</xdr:row>
      <xdr:rowOff>114300</xdr:rowOff>
    </xdr:from>
    <xdr:ext cx="18485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2" name="CuadroTexto 71">
              <a:extLst>
                <a:ext uri="{FF2B5EF4-FFF2-40B4-BE49-F238E27FC236}">
                  <a16:creationId xmlns:a16="http://schemas.microsoft.com/office/drawing/2014/main" id="{00000000-0008-0000-0400-000048000000}"/>
                </a:ext>
              </a:extLst>
            </xdr:cNvPr>
            <xdr:cNvSpPr txBox="1"/>
          </xdr:nvSpPr>
          <xdr:spPr>
            <a:xfrm>
              <a:off x="8086725" y="5067300"/>
              <a:ext cx="18485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𝑰𝑽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72" name="CuadroTexto 71">
              <a:extLst>
                <a:ext uri="{FF2B5EF4-FFF2-40B4-BE49-F238E27FC236}">
                  <a16:creationId xmlns:a16="http://schemas.microsoft.com/office/drawing/2014/main" id="{C071DA69-99F4-44C8-8EC8-552E07B3694E}"/>
                </a:ext>
              </a:extLst>
            </xdr:cNvPr>
            <xdr:cNvSpPr txBox="1"/>
          </xdr:nvSpPr>
          <xdr:spPr>
            <a:xfrm>
              <a:off x="8086725" y="5067300"/>
              <a:ext cx="18485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𝑰𝑽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33</xdr:col>
      <xdr:colOff>142875</xdr:colOff>
      <xdr:row>57</xdr:row>
      <xdr:rowOff>114300</xdr:rowOff>
    </xdr:from>
    <xdr:ext cx="2462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CuadroTexto 72">
              <a:extLst>
                <a:ext uri="{FF2B5EF4-FFF2-40B4-BE49-F238E27FC236}">
                  <a16:creationId xmlns:a16="http://schemas.microsoft.com/office/drawing/2014/main" id="{00000000-0008-0000-0400-000049000000}"/>
                </a:ext>
              </a:extLst>
            </xdr:cNvPr>
            <xdr:cNvSpPr txBox="1"/>
          </xdr:nvSpPr>
          <xdr:spPr>
            <a:xfrm>
              <a:off x="9344025" y="4305300"/>
              <a:ext cx="24628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𝑽</m:t>
                    </m:r>
                    <m:r>
                      <a:rPr lang="es-PE" sz="1100" b="1" i="1">
                        <a:latin typeface="Cambria Math" panose="02040503050406030204" pitchFamily="18" charset="0"/>
                      </a:rPr>
                      <m:t>𝑰𝑰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73" name="CuadroTexto 72">
              <a:extLst>
                <a:ext uri="{FF2B5EF4-FFF2-40B4-BE49-F238E27FC236}">
                  <a16:creationId xmlns:a16="http://schemas.microsoft.com/office/drawing/2014/main" id="{0CFDABC1-8537-4F75-9BF9-C0076C33A6CF}"/>
                </a:ext>
              </a:extLst>
            </xdr:cNvPr>
            <xdr:cNvSpPr txBox="1"/>
          </xdr:nvSpPr>
          <xdr:spPr>
            <a:xfrm>
              <a:off x="9344025" y="4305300"/>
              <a:ext cx="24628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𝑽</a:t>
              </a:r>
              <a:r>
                <a:rPr lang="es-PE" sz="1100" b="1" i="0">
                  <a:latin typeface="Cambria Math" panose="02040503050406030204" pitchFamily="18" charset="0"/>
                </a:rPr>
                <a:t>𝑰𝑰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37</xdr:col>
      <xdr:colOff>142875</xdr:colOff>
      <xdr:row>57</xdr:row>
      <xdr:rowOff>114300</xdr:rowOff>
    </xdr:from>
    <xdr:ext cx="1448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CuadroTexto 73">
              <a:extLst>
                <a:ext uri="{FF2B5EF4-FFF2-40B4-BE49-F238E27FC236}">
                  <a16:creationId xmlns:a16="http://schemas.microsoft.com/office/drawing/2014/main" id="{00000000-0008-0000-0400-00004A000000}"/>
                </a:ext>
              </a:extLst>
            </xdr:cNvPr>
            <xdr:cNvSpPr txBox="1"/>
          </xdr:nvSpPr>
          <xdr:spPr>
            <a:xfrm>
              <a:off x="8512175" y="4305300"/>
              <a:ext cx="14484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1"/>
                <a:t>V</a:t>
              </a:r>
              <a14:m>
                <m:oMath xmlns:m="http://schemas.openxmlformats.org/officeDocument/2006/math">
                  <m:r>
                    <a:rPr lang="es-PE" sz="1100" b="1" i="1">
                      <a:latin typeface="Cambria Math" panose="02040503050406030204" pitchFamily="18" charset="0"/>
                    </a:rPr>
                    <m:t>𝑰</m:t>
                  </m:r>
                </m:oMath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74" name="CuadroTexto 73">
              <a:extLst>
                <a:ext uri="{FF2B5EF4-FFF2-40B4-BE49-F238E27FC236}">
                  <a16:creationId xmlns:a16="http://schemas.microsoft.com/office/drawing/2014/main" id="{0145F04A-2F22-4899-BC24-1FE4310528B4}"/>
                </a:ext>
              </a:extLst>
            </xdr:cNvPr>
            <xdr:cNvSpPr txBox="1"/>
          </xdr:nvSpPr>
          <xdr:spPr>
            <a:xfrm>
              <a:off x="8512175" y="4305300"/>
              <a:ext cx="144848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1"/>
                <a:t>V</a:t>
              </a:r>
              <a:r>
                <a:rPr lang="es-PE" sz="1100" b="1" i="0">
                  <a:latin typeface="Cambria Math" panose="02040503050406030204" pitchFamily="18" charset="0"/>
                </a:rPr>
                <a:t>𝑰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34</xdr:col>
      <xdr:colOff>58208</xdr:colOff>
      <xdr:row>53</xdr:row>
      <xdr:rowOff>104775</xdr:rowOff>
    </xdr:from>
    <xdr:ext cx="3077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CuadroTexto 74">
              <a:extLst>
                <a:ext uri="{FF2B5EF4-FFF2-40B4-BE49-F238E27FC236}">
                  <a16:creationId xmlns:a16="http://schemas.microsoft.com/office/drawing/2014/main" id="{00000000-0008-0000-0400-00004B000000}"/>
                </a:ext>
              </a:extLst>
            </xdr:cNvPr>
            <xdr:cNvSpPr txBox="1"/>
          </xdr:nvSpPr>
          <xdr:spPr>
            <a:xfrm>
              <a:off x="9062508" y="3533775"/>
              <a:ext cx="30771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𝑽</m:t>
                    </m:r>
                    <m:r>
                      <a:rPr lang="es-PE" sz="1100" b="1" i="1">
                        <a:latin typeface="Cambria Math" panose="02040503050406030204" pitchFamily="18" charset="0"/>
                      </a:rPr>
                      <m:t>𝑰𝑰𝑰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75" name="CuadroTexto 74">
              <a:extLst>
                <a:ext uri="{FF2B5EF4-FFF2-40B4-BE49-F238E27FC236}">
                  <a16:creationId xmlns:a16="http://schemas.microsoft.com/office/drawing/2014/main" id="{5ECD3ED2-6D51-4538-9EE7-B0A601368AA4}"/>
                </a:ext>
              </a:extLst>
            </xdr:cNvPr>
            <xdr:cNvSpPr txBox="1"/>
          </xdr:nvSpPr>
          <xdr:spPr>
            <a:xfrm>
              <a:off x="9062508" y="3533775"/>
              <a:ext cx="30771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𝑽</a:t>
              </a:r>
              <a:r>
                <a:rPr lang="es-PE" sz="1100" b="1" i="0">
                  <a:latin typeface="Cambria Math" panose="02040503050406030204" pitchFamily="18" charset="0"/>
                </a:rPr>
                <a:t>𝑰𝑰𝑰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33</xdr:col>
      <xdr:colOff>142875</xdr:colOff>
      <xdr:row>49</xdr:row>
      <xdr:rowOff>114300</xdr:rowOff>
    </xdr:from>
    <xdr:ext cx="19095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00000000-0008-0000-0400-00004C000000}"/>
                </a:ext>
              </a:extLst>
            </xdr:cNvPr>
            <xdr:cNvSpPr txBox="1"/>
          </xdr:nvSpPr>
          <xdr:spPr>
            <a:xfrm>
              <a:off x="9344025" y="2781300"/>
              <a:ext cx="190950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1" i="1">
                        <a:latin typeface="Cambria Math" panose="02040503050406030204" pitchFamily="18" charset="0"/>
                      </a:rPr>
                      <m:t>𝑰</m:t>
                    </m:r>
                    <m:r>
                      <a:rPr lang="es-MX" sz="1100" b="1" i="1">
                        <a:latin typeface="Cambria Math" panose="02040503050406030204" pitchFamily="18" charset="0"/>
                      </a:rPr>
                      <m:t>𝑿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FD7FF427-E941-4721-9608-FB967C2F3466}"/>
                </a:ext>
              </a:extLst>
            </xdr:cNvPr>
            <xdr:cNvSpPr txBox="1"/>
          </xdr:nvSpPr>
          <xdr:spPr>
            <a:xfrm>
              <a:off x="9344025" y="2781300"/>
              <a:ext cx="190950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1" i="0">
                  <a:latin typeface="Cambria Math" panose="02040503050406030204" pitchFamily="18" charset="0"/>
                </a:rPr>
                <a:t>𝑰</a:t>
              </a:r>
              <a:r>
                <a:rPr lang="es-MX" sz="1100" b="1" i="0">
                  <a:latin typeface="Cambria Math" panose="02040503050406030204" pitchFamily="18" charset="0"/>
                </a:rPr>
                <a:t>𝑿</a:t>
              </a:r>
              <a:endParaRPr lang="en-US" sz="1100" b="1"/>
            </a:p>
          </xdr:txBody>
        </xdr:sp>
      </mc:Fallback>
    </mc:AlternateContent>
    <xdr:clientData/>
  </xdr:oneCellAnchor>
  <xdr:twoCellAnchor>
    <xdr:from>
      <xdr:col>47</xdr:col>
      <xdr:colOff>197555</xdr:colOff>
      <xdr:row>48</xdr:row>
      <xdr:rowOff>907</xdr:rowOff>
    </xdr:from>
    <xdr:to>
      <xdr:col>48</xdr:col>
      <xdr:colOff>3529</xdr:colOff>
      <xdr:row>52</xdr:row>
      <xdr:rowOff>0</xdr:rowOff>
    </xdr:to>
    <xdr:cxnSp macro="">
      <xdr:nvCxnSpPr>
        <xdr:cNvPr id="77" name="Conector recto de flecha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CxnSpPr/>
      </xdr:nvCxnSpPr>
      <xdr:spPr>
        <a:xfrm flipH="1">
          <a:off x="9821333" y="10097407"/>
          <a:ext cx="3529" cy="76109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194028</xdr:colOff>
      <xdr:row>63</xdr:row>
      <xdr:rowOff>186972</xdr:rowOff>
    </xdr:from>
    <xdr:to>
      <xdr:col>47</xdr:col>
      <xdr:colOff>197555</xdr:colOff>
      <xdr:row>68</xdr:row>
      <xdr:rowOff>4536</xdr:rowOff>
    </xdr:to>
    <xdr:cxnSp macro="">
      <xdr:nvCxnSpPr>
        <xdr:cNvPr id="81" name="Conector recto de flecha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CxnSpPr/>
      </xdr:nvCxnSpPr>
      <xdr:spPr>
        <a:xfrm>
          <a:off x="9817806" y="13140972"/>
          <a:ext cx="3527" cy="770064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6746</xdr:colOff>
      <xdr:row>70</xdr:row>
      <xdr:rowOff>1590</xdr:rowOff>
    </xdr:from>
    <xdr:to>
      <xdr:col>40</xdr:col>
      <xdr:colOff>10583</xdr:colOff>
      <xdr:row>70</xdr:row>
      <xdr:rowOff>3528</xdr:rowOff>
    </xdr:to>
    <xdr:cxnSp macro="">
      <xdr:nvCxnSpPr>
        <xdr:cNvPr id="84" name="Conector recto de flecha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CxnSpPr/>
      </xdr:nvCxnSpPr>
      <xdr:spPr>
        <a:xfrm>
          <a:off x="7319829" y="14289090"/>
          <a:ext cx="857560" cy="1938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10583</xdr:colOff>
      <xdr:row>69</xdr:row>
      <xdr:rowOff>190240</xdr:rowOff>
    </xdr:from>
    <xdr:to>
      <xdr:col>46</xdr:col>
      <xdr:colOff>2715</xdr:colOff>
      <xdr:row>70</xdr:row>
      <xdr:rowOff>3528</xdr:rowOff>
    </xdr:to>
    <xdr:cxnSp macro="">
      <xdr:nvCxnSpPr>
        <xdr:cNvPr id="86" name="Conector recto de flecha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CxnSpPr/>
      </xdr:nvCxnSpPr>
      <xdr:spPr>
        <a:xfrm flipV="1">
          <a:off x="8177389" y="14287240"/>
          <a:ext cx="1251548" cy="3788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29704</xdr:colOff>
      <xdr:row>65</xdr:row>
      <xdr:rowOff>114448</xdr:rowOff>
    </xdr:from>
    <xdr:ext cx="12522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" name="CuadroTexto 86">
              <a:extLst>
                <a:ext uri="{FF2B5EF4-FFF2-40B4-BE49-F238E27FC236}">
                  <a16:creationId xmlns:a16="http://schemas.microsoft.com/office/drawing/2014/main" id="{00000000-0008-0000-0400-000057000000}"/>
                </a:ext>
              </a:extLst>
            </xdr:cNvPr>
            <xdr:cNvSpPr txBox="1"/>
          </xdr:nvSpPr>
          <xdr:spPr>
            <a:xfrm>
              <a:off x="8399004" y="5829448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𝑨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87" name="CuadroTexto 86">
              <a:extLst>
                <a:ext uri="{FF2B5EF4-FFF2-40B4-BE49-F238E27FC236}">
                  <a16:creationId xmlns:a16="http://schemas.microsoft.com/office/drawing/2014/main" id="{682E0BED-54B8-4B49-87FB-C3C17F88D3AE}"/>
                </a:ext>
              </a:extLst>
            </xdr:cNvPr>
            <xdr:cNvSpPr txBox="1"/>
          </xdr:nvSpPr>
          <xdr:spPr>
            <a:xfrm>
              <a:off x="8399004" y="5829448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𝑨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33</xdr:col>
      <xdr:colOff>29195</xdr:colOff>
      <xdr:row>65</xdr:row>
      <xdr:rowOff>116781</xdr:rowOff>
    </xdr:from>
    <xdr:ext cx="12522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8" name="CuadroTexto 87">
              <a:extLst>
                <a:ext uri="{FF2B5EF4-FFF2-40B4-BE49-F238E27FC236}">
                  <a16:creationId xmlns:a16="http://schemas.microsoft.com/office/drawing/2014/main" id="{00000000-0008-0000-0400-000058000000}"/>
                </a:ext>
              </a:extLst>
            </xdr:cNvPr>
            <xdr:cNvSpPr txBox="1"/>
          </xdr:nvSpPr>
          <xdr:spPr>
            <a:xfrm>
              <a:off x="9230345" y="5831781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𝑨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88" name="CuadroTexto 87">
              <a:extLst>
                <a:ext uri="{FF2B5EF4-FFF2-40B4-BE49-F238E27FC236}">
                  <a16:creationId xmlns:a16="http://schemas.microsoft.com/office/drawing/2014/main" id="{75951C51-E839-4B30-B951-33CFE39AEEB9}"/>
                </a:ext>
              </a:extLst>
            </xdr:cNvPr>
            <xdr:cNvSpPr txBox="1"/>
          </xdr:nvSpPr>
          <xdr:spPr>
            <a:xfrm>
              <a:off x="9230345" y="5831781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𝑨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39</xdr:col>
      <xdr:colOff>19558</xdr:colOff>
      <xdr:row>61</xdr:row>
      <xdr:rowOff>111820</xdr:rowOff>
    </xdr:from>
    <xdr:ext cx="12522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9" name="CuadroTexto 88">
              <a:extLst>
                <a:ext uri="{FF2B5EF4-FFF2-40B4-BE49-F238E27FC236}">
                  <a16:creationId xmlns:a16="http://schemas.microsoft.com/office/drawing/2014/main" id="{00000000-0008-0000-0400-000059000000}"/>
                </a:ext>
              </a:extLst>
            </xdr:cNvPr>
            <xdr:cNvSpPr txBox="1"/>
          </xdr:nvSpPr>
          <xdr:spPr>
            <a:xfrm>
              <a:off x="7963408" y="5064820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𝑨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89" name="CuadroTexto 88">
              <a:extLst>
                <a:ext uri="{FF2B5EF4-FFF2-40B4-BE49-F238E27FC236}">
                  <a16:creationId xmlns:a16="http://schemas.microsoft.com/office/drawing/2014/main" id="{2E524BC1-CFDC-4173-A329-A35D69145262}"/>
                </a:ext>
              </a:extLst>
            </xdr:cNvPr>
            <xdr:cNvSpPr txBox="1"/>
          </xdr:nvSpPr>
          <xdr:spPr>
            <a:xfrm>
              <a:off x="7963408" y="5064820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𝑨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33</xdr:col>
      <xdr:colOff>124080</xdr:colOff>
      <xdr:row>61</xdr:row>
      <xdr:rowOff>102184</xdr:rowOff>
    </xdr:from>
    <xdr:ext cx="13388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0" name="CuadroTexto 89">
              <a:extLst>
                <a:ext uri="{FF2B5EF4-FFF2-40B4-BE49-F238E27FC236}">
                  <a16:creationId xmlns:a16="http://schemas.microsoft.com/office/drawing/2014/main" id="{00000000-0008-0000-0400-00005A000000}"/>
                </a:ext>
              </a:extLst>
            </xdr:cNvPr>
            <xdr:cNvSpPr txBox="1"/>
          </xdr:nvSpPr>
          <xdr:spPr>
            <a:xfrm>
              <a:off x="8931530" y="5055184"/>
              <a:ext cx="13388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𝑩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90" name="CuadroTexto 89">
              <a:extLst>
                <a:ext uri="{FF2B5EF4-FFF2-40B4-BE49-F238E27FC236}">
                  <a16:creationId xmlns:a16="http://schemas.microsoft.com/office/drawing/2014/main" id="{9137B1B4-4C6B-485F-9DC5-7FA37E6EBFE4}"/>
                </a:ext>
              </a:extLst>
            </xdr:cNvPr>
            <xdr:cNvSpPr txBox="1"/>
          </xdr:nvSpPr>
          <xdr:spPr>
            <a:xfrm>
              <a:off x="8931530" y="5055184"/>
              <a:ext cx="13388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𝑩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33</xdr:col>
      <xdr:colOff>130503</xdr:colOff>
      <xdr:row>53</xdr:row>
      <xdr:rowOff>101308</xdr:rowOff>
    </xdr:from>
    <xdr:ext cx="13388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1" name="CuadroTexto 90">
              <a:extLst>
                <a:ext uri="{FF2B5EF4-FFF2-40B4-BE49-F238E27FC236}">
                  <a16:creationId xmlns:a16="http://schemas.microsoft.com/office/drawing/2014/main" id="{00000000-0008-0000-0400-00005B000000}"/>
                </a:ext>
              </a:extLst>
            </xdr:cNvPr>
            <xdr:cNvSpPr txBox="1"/>
          </xdr:nvSpPr>
          <xdr:spPr>
            <a:xfrm>
              <a:off x="8937953" y="3530308"/>
              <a:ext cx="13388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𝑩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91" name="CuadroTexto 90">
              <a:extLst>
                <a:ext uri="{FF2B5EF4-FFF2-40B4-BE49-F238E27FC236}">
                  <a16:creationId xmlns:a16="http://schemas.microsoft.com/office/drawing/2014/main" id="{DCEDE91D-AC2F-4CCB-85E9-3B4D65F3E3B4}"/>
                </a:ext>
              </a:extLst>
            </xdr:cNvPr>
            <xdr:cNvSpPr txBox="1"/>
          </xdr:nvSpPr>
          <xdr:spPr>
            <a:xfrm>
              <a:off x="8937953" y="3530308"/>
              <a:ext cx="13388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𝑩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33</xdr:col>
      <xdr:colOff>19561</xdr:colOff>
      <xdr:row>57</xdr:row>
      <xdr:rowOff>114158</xdr:rowOff>
    </xdr:from>
    <xdr:ext cx="12522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2" name="CuadroTexto 91">
              <a:extLst>
                <a:ext uri="{FF2B5EF4-FFF2-40B4-BE49-F238E27FC236}">
                  <a16:creationId xmlns:a16="http://schemas.microsoft.com/office/drawing/2014/main" id="{00000000-0008-0000-0400-00005C000000}"/>
                </a:ext>
              </a:extLst>
            </xdr:cNvPr>
            <xdr:cNvSpPr txBox="1"/>
          </xdr:nvSpPr>
          <xdr:spPr>
            <a:xfrm>
              <a:off x="9220711" y="4305158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𝑨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92" name="CuadroTexto 91">
              <a:extLst>
                <a:ext uri="{FF2B5EF4-FFF2-40B4-BE49-F238E27FC236}">
                  <a16:creationId xmlns:a16="http://schemas.microsoft.com/office/drawing/2014/main" id="{03DA75BB-1B8E-4F1A-AA1D-A7EEF651AFDA}"/>
                </a:ext>
              </a:extLst>
            </xdr:cNvPr>
            <xdr:cNvSpPr txBox="1"/>
          </xdr:nvSpPr>
          <xdr:spPr>
            <a:xfrm>
              <a:off x="9220711" y="4305158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𝑨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33</xdr:col>
      <xdr:colOff>28319</xdr:colOff>
      <xdr:row>49</xdr:row>
      <xdr:rowOff>110451</xdr:rowOff>
    </xdr:from>
    <xdr:ext cx="12522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3" name="CuadroTexto 92">
              <a:extLst>
                <a:ext uri="{FF2B5EF4-FFF2-40B4-BE49-F238E27FC236}">
                  <a16:creationId xmlns:a16="http://schemas.microsoft.com/office/drawing/2014/main" id="{00000000-0008-0000-0400-00005D000000}"/>
                </a:ext>
              </a:extLst>
            </xdr:cNvPr>
            <xdr:cNvSpPr txBox="1"/>
          </xdr:nvSpPr>
          <xdr:spPr>
            <a:xfrm>
              <a:off x="9229469" y="2777451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𝑨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93" name="CuadroTexto 92">
              <a:extLst>
                <a:ext uri="{FF2B5EF4-FFF2-40B4-BE49-F238E27FC236}">
                  <a16:creationId xmlns:a16="http://schemas.microsoft.com/office/drawing/2014/main" id="{720375DC-BFC9-4DFF-AE03-43246C6B94FC}"/>
                </a:ext>
              </a:extLst>
            </xdr:cNvPr>
            <xdr:cNvSpPr txBox="1"/>
          </xdr:nvSpPr>
          <xdr:spPr>
            <a:xfrm>
              <a:off x="9229469" y="2777451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𝑨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37</xdr:col>
      <xdr:colOff>16153</xdr:colOff>
      <xdr:row>57</xdr:row>
      <xdr:rowOff>115030</xdr:rowOff>
    </xdr:from>
    <xdr:ext cx="12522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4" name="CuadroTexto 93">
              <a:extLst>
                <a:ext uri="{FF2B5EF4-FFF2-40B4-BE49-F238E27FC236}">
                  <a16:creationId xmlns:a16="http://schemas.microsoft.com/office/drawing/2014/main" id="{00000000-0008-0000-0400-00005E000000}"/>
                </a:ext>
              </a:extLst>
            </xdr:cNvPr>
            <xdr:cNvSpPr txBox="1"/>
          </xdr:nvSpPr>
          <xdr:spPr>
            <a:xfrm>
              <a:off x="8385453" y="4306030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𝑨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94" name="CuadroTexto 93">
              <a:extLst>
                <a:ext uri="{FF2B5EF4-FFF2-40B4-BE49-F238E27FC236}">
                  <a16:creationId xmlns:a16="http://schemas.microsoft.com/office/drawing/2014/main" id="{E993C411-450B-4445-91AF-9A540261B982}"/>
                </a:ext>
              </a:extLst>
            </xdr:cNvPr>
            <xdr:cNvSpPr txBox="1"/>
          </xdr:nvSpPr>
          <xdr:spPr>
            <a:xfrm>
              <a:off x="8385453" y="4306030"/>
              <a:ext cx="125226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𝑨</a:t>
              </a:r>
              <a:endParaRPr lang="en-US" sz="1100" b="1"/>
            </a:p>
          </xdr:txBody>
        </xdr:sp>
      </mc:Fallback>
    </mc:AlternateContent>
    <xdr:clientData/>
  </xdr:oneCellAnchor>
  <xdr:twoCellAnchor>
    <xdr:from>
      <xdr:col>35</xdr:col>
      <xdr:colOff>193297</xdr:colOff>
      <xdr:row>47</xdr:row>
      <xdr:rowOff>1094</xdr:rowOff>
    </xdr:from>
    <xdr:to>
      <xdr:col>38</xdr:col>
      <xdr:colOff>0</xdr:colOff>
      <xdr:row>47</xdr:row>
      <xdr:rowOff>3528</xdr:rowOff>
    </xdr:to>
    <xdr:cxnSp macro="">
      <xdr:nvCxnSpPr>
        <xdr:cNvPr id="95" name="Conector recto de flecha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CxnSpPr/>
      </xdr:nvCxnSpPr>
      <xdr:spPr>
        <a:xfrm>
          <a:off x="7308825" y="9907094"/>
          <a:ext cx="424064" cy="2434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42</xdr:col>
      <xdr:colOff>58208</xdr:colOff>
      <xdr:row>65</xdr:row>
      <xdr:rowOff>104775</xdr:rowOff>
    </xdr:from>
    <xdr:ext cx="9329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" name="CuadroTexto 98">
              <a:extLst>
                <a:ext uri="{FF2B5EF4-FFF2-40B4-BE49-F238E27FC236}">
                  <a16:creationId xmlns:a16="http://schemas.microsoft.com/office/drawing/2014/main" id="{00000000-0008-0000-0400-000063000000}"/>
                </a:ext>
              </a:extLst>
            </xdr:cNvPr>
            <xdr:cNvSpPr txBox="1"/>
          </xdr:nvSpPr>
          <xdr:spPr>
            <a:xfrm>
              <a:off x="7348008" y="5819775"/>
              <a:ext cx="93295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𝑰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99" name="CuadroTexto 98">
              <a:extLst>
                <a:ext uri="{FF2B5EF4-FFF2-40B4-BE49-F238E27FC236}">
                  <a16:creationId xmlns:a16="http://schemas.microsoft.com/office/drawing/2014/main" id="{F61D0DFF-CDA9-449F-A372-7AEF6696B4A5}"/>
                </a:ext>
              </a:extLst>
            </xdr:cNvPr>
            <xdr:cNvSpPr txBox="1"/>
          </xdr:nvSpPr>
          <xdr:spPr>
            <a:xfrm>
              <a:off x="7348008" y="5819775"/>
              <a:ext cx="93295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𝑰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41</xdr:col>
      <xdr:colOff>124080</xdr:colOff>
      <xdr:row>65</xdr:row>
      <xdr:rowOff>102184</xdr:rowOff>
    </xdr:from>
    <xdr:ext cx="13388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0" name="CuadroTexto 99">
              <a:extLst>
                <a:ext uri="{FF2B5EF4-FFF2-40B4-BE49-F238E27FC236}">
                  <a16:creationId xmlns:a16="http://schemas.microsoft.com/office/drawing/2014/main" id="{00000000-0008-0000-0400-000064000000}"/>
                </a:ext>
              </a:extLst>
            </xdr:cNvPr>
            <xdr:cNvSpPr txBox="1"/>
          </xdr:nvSpPr>
          <xdr:spPr>
            <a:xfrm>
              <a:off x="7217030" y="5817184"/>
              <a:ext cx="13388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</a:rPr>
                      <m:t>𝑩</m:t>
                    </m:r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100" name="CuadroTexto 99">
              <a:extLst>
                <a:ext uri="{FF2B5EF4-FFF2-40B4-BE49-F238E27FC236}">
                  <a16:creationId xmlns:a16="http://schemas.microsoft.com/office/drawing/2014/main" id="{D243FB61-0A91-460F-8505-032A863AD4C9}"/>
                </a:ext>
              </a:extLst>
            </xdr:cNvPr>
            <xdr:cNvSpPr txBox="1"/>
          </xdr:nvSpPr>
          <xdr:spPr>
            <a:xfrm>
              <a:off x="7217030" y="5817184"/>
              <a:ext cx="133883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</a:rPr>
                <a:t>𝑩</a:t>
              </a:r>
              <a:endParaRPr lang="en-US" sz="1100" b="1"/>
            </a:p>
          </xdr:txBody>
        </xdr:sp>
      </mc:Fallback>
    </mc:AlternateContent>
    <xdr:clientData/>
  </xdr:oneCellAnchor>
  <xdr:twoCellAnchor>
    <xdr:from>
      <xdr:col>32</xdr:col>
      <xdr:colOff>18143</xdr:colOff>
      <xdr:row>46</xdr:row>
      <xdr:rowOff>185702</xdr:rowOff>
    </xdr:from>
    <xdr:to>
      <xdr:col>35</xdr:col>
      <xdr:colOff>197555</xdr:colOff>
      <xdr:row>46</xdr:row>
      <xdr:rowOff>186972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CxnSpPr/>
      </xdr:nvCxnSpPr>
      <xdr:spPr>
        <a:xfrm>
          <a:off x="6484560" y="9901202"/>
          <a:ext cx="828523" cy="1270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903</xdr:colOff>
      <xdr:row>69</xdr:row>
      <xdr:rowOff>186942</xdr:rowOff>
    </xdr:from>
    <xdr:to>
      <xdr:col>36</xdr:col>
      <xdr:colOff>4535</xdr:colOff>
      <xdr:row>70</xdr:row>
      <xdr:rowOff>0</xdr:rowOff>
    </xdr:to>
    <xdr:cxnSp macro="">
      <xdr:nvCxnSpPr>
        <xdr:cNvPr id="102" name="Conector recto de flecha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CxnSpPr/>
      </xdr:nvCxnSpPr>
      <xdr:spPr>
        <a:xfrm>
          <a:off x="6391724" y="14283942"/>
          <a:ext cx="842740" cy="3558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3502</xdr:colOff>
      <xdr:row>47</xdr:row>
      <xdr:rowOff>0</xdr:rowOff>
    </xdr:from>
    <xdr:to>
      <xdr:col>40</xdr:col>
      <xdr:colOff>6684</xdr:colOff>
      <xdr:row>47</xdr:row>
      <xdr:rowOff>1799</xdr:rowOff>
    </xdr:to>
    <xdr:cxnSp macro="">
      <xdr:nvCxnSpPr>
        <xdr:cNvPr id="122" name="Conector recto de flecha 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CxnSpPr/>
      </xdr:nvCxnSpPr>
      <xdr:spPr>
        <a:xfrm flipV="1">
          <a:off x="7643555" y="10079789"/>
          <a:ext cx="517866" cy="1799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13368</xdr:colOff>
      <xdr:row>47</xdr:row>
      <xdr:rowOff>0</xdr:rowOff>
    </xdr:from>
    <xdr:to>
      <xdr:col>42</xdr:col>
      <xdr:colOff>916</xdr:colOff>
      <xdr:row>47</xdr:row>
      <xdr:rowOff>5962</xdr:rowOff>
    </xdr:to>
    <xdr:cxnSp macro="">
      <xdr:nvCxnSpPr>
        <xdr:cNvPr id="123" name="Conector recto de flecha 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CxnSpPr/>
      </xdr:nvCxnSpPr>
      <xdr:spPr>
        <a:xfrm>
          <a:off x="8168105" y="10079789"/>
          <a:ext cx="408653" cy="5962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4738</xdr:colOff>
      <xdr:row>47</xdr:row>
      <xdr:rowOff>2963</xdr:rowOff>
    </xdr:from>
    <xdr:to>
      <xdr:col>46</xdr:col>
      <xdr:colOff>706</xdr:colOff>
      <xdr:row>47</xdr:row>
      <xdr:rowOff>4233</xdr:rowOff>
    </xdr:to>
    <xdr:cxnSp macro="">
      <xdr:nvCxnSpPr>
        <xdr:cNvPr id="125" name="Conector recto de flecha 12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CxnSpPr/>
      </xdr:nvCxnSpPr>
      <xdr:spPr>
        <a:xfrm>
          <a:off x="8598405" y="9908963"/>
          <a:ext cx="828523" cy="1270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706</xdr:colOff>
      <xdr:row>52</xdr:row>
      <xdr:rowOff>5141</xdr:rowOff>
    </xdr:from>
    <xdr:to>
      <xdr:col>48</xdr:col>
      <xdr:colOff>4235</xdr:colOff>
      <xdr:row>56</xdr:row>
      <xdr:rowOff>4234</xdr:rowOff>
    </xdr:to>
    <xdr:cxnSp macro="">
      <xdr:nvCxnSpPr>
        <xdr:cNvPr id="128" name="Conector recto de flecha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CxnSpPr/>
      </xdr:nvCxnSpPr>
      <xdr:spPr>
        <a:xfrm flipH="1">
          <a:off x="9822039" y="10863641"/>
          <a:ext cx="3529" cy="76109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195439</xdr:colOff>
      <xdr:row>55</xdr:row>
      <xdr:rowOff>185764</xdr:rowOff>
    </xdr:from>
    <xdr:to>
      <xdr:col>48</xdr:col>
      <xdr:colOff>1413</xdr:colOff>
      <xdr:row>59</xdr:row>
      <xdr:rowOff>184857</xdr:rowOff>
    </xdr:to>
    <xdr:cxnSp macro="">
      <xdr:nvCxnSpPr>
        <xdr:cNvPr id="129" name="Conector recto de flecha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CxnSpPr/>
      </xdr:nvCxnSpPr>
      <xdr:spPr>
        <a:xfrm flipH="1">
          <a:off x="9819217" y="11615764"/>
          <a:ext cx="3529" cy="76109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192617</xdr:colOff>
      <xdr:row>60</xdr:row>
      <xdr:rowOff>3026</xdr:rowOff>
    </xdr:from>
    <xdr:to>
      <xdr:col>47</xdr:col>
      <xdr:colOff>196146</xdr:colOff>
      <xdr:row>64</xdr:row>
      <xdr:rowOff>2119</xdr:rowOff>
    </xdr:to>
    <xdr:cxnSp macro="">
      <xdr:nvCxnSpPr>
        <xdr:cNvPr id="130" name="Conector recto de flecha 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CxnSpPr/>
      </xdr:nvCxnSpPr>
      <xdr:spPr>
        <a:xfrm flipH="1">
          <a:off x="9816395" y="12385526"/>
          <a:ext cx="3529" cy="76109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4236</xdr:colOff>
      <xdr:row>48</xdr:row>
      <xdr:rowOff>8668</xdr:rowOff>
    </xdr:from>
    <xdr:to>
      <xdr:col>31</xdr:col>
      <xdr:colOff>6615</xdr:colOff>
      <xdr:row>68</xdr:row>
      <xdr:rowOff>13229</xdr:rowOff>
    </xdr:to>
    <xdr:cxnSp macro="">
      <xdr:nvCxnSpPr>
        <xdr:cNvPr id="131" name="Conector recto de flecha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CxnSpPr/>
      </xdr:nvCxnSpPr>
      <xdr:spPr>
        <a:xfrm>
          <a:off x="6301319" y="10175283"/>
          <a:ext cx="2379" cy="3841019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191823</xdr:colOff>
      <xdr:row>70</xdr:row>
      <xdr:rowOff>191564</xdr:rowOff>
    </xdr:from>
    <xdr:to>
      <xdr:col>46</xdr:col>
      <xdr:colOff>13740</xdr:colOff>
      <xdr:row>71</xdr:row>
      <xdr:rowOff>6614</xdr:rowOff>
    </xdr:to>
    <xdr:cxnSp macro="">
      <xdr:nvCxnSpPr>
        <xdr:cNvPr id="133" name="Conector recto de flecha 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CxnSpPr/>
      </xdr:nvCxnSpPr>
      <xdr:spPr>
        <a:xfrm flipV="1">
          <a:off x="6488906" y="14578283"/>
          <a:ext cx="2990303" cy="687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13386</xdr:colOff>
      <xdr:row>204</xdr:row>
      <xdr:rowOff>3922</xdr:rowOff>
    </xdr:from>
    <xdr:ext cx="37247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4" name="CuadroTexto 153">
              <a:extLst>
                <a:ext uri="{FF2B5EF4-FFF2-40B4-BE49-F238E27FC236}">
                  <a16:creationId xmlns:a16="http://schemas.microsoft.com/office/drawing/2014/main" id="{00000000-0008-0000-0400-00009A000000}"/>
                </a:ext>
              </a:extLst>
            </xdr:cNvPr>
            <xdr:cNvSpPr txBox="1"/>
          </xdr:nvSpPr>
          <xdr:spPr>
            <a:xfrm>
              <a:off x="987534" y="34712445"/>
              <a:ext cx="372474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𝑩𝑽𝑰𝑰𝑰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154" name="CuadroTexto 153">
              <a:extLst>
                <a:ext uri="{FF2B5EF4-FFF2-40B4-BE49-F238E27FC236}">
                  <a16:creationId xmlns:a16="http://schemas.microsoft.com/office/drawing/2014/main" id="{D8999AC2-6529-4085-840C-C9D823A4FCDD}"/>
                </a:ext>
              </a:extLst>
            </xdr:cNvPr>
            <xdr:cNvSpPr txBox="1"/>
          </xdr:nvSpPr>
          <xdr:spPr>
            <a:xfrm>
              <a:off x="987534" y="34712445"/>
              <a:ext cx="372474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𝑩𝑽𝑰𝑰𝑰</a:t>
              </a:r>
              <a:endParaRPr lang="en-US" sz="1000" b="1"/>
            </a:p>
          </xdr:txBody>
        </xdr:sp>
      </mc:Fallback>
    </mc:AlternateContent>
    <xdr:clientData/>
  </xdr:oneCellAnchor>
  <xdr:twoCellAnchor>
    <xdr:from>
      <xdr:col>9</xdr:col>
      <xdr:colOff>116728</xdr:colOff>
      <xdr:row>198</xdr:row>
      <xdr:rowOff>177426</xdr:rowOff>
    </xdr:from>
    <xdr:to>
      <xdr:col>9</xdr:col>
      <xdr:colOff>121398</xdr:colOff>
      <xdr:row>203</xdr:row>
      <xdr:rowOff>0</xdr:rowOff>
    </xdr:to>
    <xdr:cxnSp macro="">
      <xdr:nvCxnSpPr>
        <xdr:cNvPr id="155" name="Conector recto de flecha 15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CxnSpPr/>
      </xdr:nvCxnSpPr>
      <xdr:spPr>
        <a:xfrm flipH="1">
          <a:off x="1928346" y="38655625"/>
          <a:ext cx="4670" cy="77974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174876</xdr:colOff>
      <xdr:row>211</xdr:row>
      <xdr:rowOff>144886</xdr:rowOff>
    </xdr:from>
    <xdr:to>
      <xdr:col>12</xdr:col>
      <xdr:colOff>20585</xdr:colOff>
      <xdr:row>212</xdr:row>
      <xdr:rowOff>51316</xdr:rowOff>
    </xdr:to>
    <xdr:sp macro="" textlink="">
      <xdr:nvSpPr>
        <xdr:cNvPr id="156" name="Elipse 155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/>
      </xdr:nvSpPr>
      <xdr:spPr>
        <a:xfrm>
          <a:off x="2377110" y="40622758"/>
          <a:ext cx="95656" cy="9557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80683</xdr:colOff>
      <xdr:row>200</xdr:row>
      <xdr:rowOff>188819</xdr:rowOff>
    </xdr:from>
    <xdr:to>
      <xdr:col>4</xdr:col>
      <xdr:colOff>80683</xdr:colOff>
      <xdr:row>202</xdr:row>
      <xdr:rowOff>104215</xdr:rowOff>
    </xdr:to>
    <xdr:cxnSp macro="">
      <xdr:nvCxnSpPr>
        <xdr:cNvPr id="157" name="Conector recto de flecha 156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CxnSpPr/>
      </xdr:nvCxnSpPr>
      <xdr:spPr>
        <a:xfrm>
          <a:off x="860001" y="34146887"/>
          <a:ext cx="0" cy="290623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6163</xdr:colOff>
      <xdr:row>199</xdr:row>
      <xdr:rowOff>133350</xdr:rowOff>
    </xdr:from>
    <xdr:ext cx="25846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8" name="CuadroTexto 157">
              <a:extLst>
                <a:ext uri="{FF2B5EF4-FFF2-40B4-BE49-F238E27FC236}">
                  <a16:creationId xmlns:a16="http://schemas.microsoft.com/office/drawing/2014/main" id="{00000000-0008-0000-0400-00009E000000}"/>
                </a:ext>
              </a:extLst>
            </xdr:cNvPr>
            <xdr:cNvSpPr txBox="1"/>
          </xdr:nvSpPr>
          <xdr:spPr>
            <a:xfrm>
              <a:off x="785481" y="33903805"/>
              <a:ext cx="258468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𝑨𝑰𝑿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158" name="CuadroTexto 157">
              <a:extLst>
                <a:ext uri="{FF2B5EF4-FFF2-40B4-BE49-F238E27FC236}">
                  <a16:creationId xmlns:a16="http://schemas.microsoft.com/office/drawing/2014/main" id="{C9B21140-9632-4FD5-A9F9-E15035450793}"/>
                </a:ext>
              </a:extLst>
            </xdr:cNvPr>
            <xdr:cNvSpPr txBox="1"/>
          </xdr:nvSpPr>
          <xdr:spPr>
            <a:xfrm>
              <a:off x="785481" y="33903805"/>
              <a:ext cx="258468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𝑨𝑰𝑿</a:t>
              </a:r>
              <a:endParaRPr lang="es-MX" sz="1000" b="1"/>
            </a:p>
          </xdr:txBody>
        </xdr:sp>
      </mc:Fallback>
    </mc:AlternateContent>
    <xdr:clientData/>
  </xdr:oneCellAnchor>
  <xdr:twoCellAnchor>
    <xdr:from>
      <xdr:col>1</xdr:col>
      <xdr:colOff>187323</xdr:colOff>
      <xdr:row>198</xdr:row>
      <xdr:rowOff>47625</xdr:rowOff>
    </xdr:from>
    <xdr:to>
      <xdr:col>7</xdr:col>
      <xdr:colOff>14432</xdr:colOff>
      <xdr:row>198</xdr:row>
      <xdr:rowOff>51378</xdr:rowOff>
    </xdr:to>
    <xdr:cxnSp macro="">
      <xdr:nvCxnSpPr>
        <xdr:cNvPr id="159" name="Conector recto de flecha 15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CxnSpPr/>
      </xdr:nvCxnSpPr>
      <xdr:spPr>
        <a:xfrm flipV="1">
          <a:off x="384173" y="38744525"/>
          <a:ext cx="1008209" cy="375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98612</xdr:colOff>
      <xdr:row>205</xdr:row>
      <xdr:rowOff>83484</xdr:rowOff>
    </xdr:from>
    <xdr:to>
      <xdr:col>5</xdr:col>
      <xdr:colOff>98612</xdr:colOff>
      <xdr:row>206</xdr:row>
      <xdr:rowOff>189380</xdr:rowOff>
    </xdr:to>
    <xdr:cxnSp macro="">
      <xdr:nvCxnSpPr>
        <xdr:cNvPr id="160" name="Conector recto de flecha 159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CxnSpPr/>
      </xdr:nvCxnSpPr>
      <xdr:spPr>
        <a:xfrm>
          <a:off x="1072760" y="34979620"/>
          <a:ext cx="0" cy="293510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112058</xdr:colOff>
      <xdr:row>202</xdr:row>
      <xdr:rowOff>182098</xdr:rowOff>
    </xdr:from>
    <xdr:to>
      <xdr:col>9</xdr:col>
      <xdr:colOff>114300</xdr:colOff>
      <xdr:row>207</xdr:row>
      <xdr:rowOff>152400</xdr:rowOff>
    </xdr:to>
    <xdr:cxnSp macro="">
      <xdr:nvCxnSpPr>
        <xdr:cNvPr id="161" name="Conector recto de flecha 16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CxnSpPr/>
      </xdr:nvCxnSpPr>
      <xdr:spPr>
        <a:xfrm>
          <a:off x="1923676" y="39426032"/>
          <a:ext cx="2242" cy="927471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170509</xdr:colOff>
      <xdr:row>213</xdr:row>
      <xdr:rowOff>5880</xdr:rowOff>
    </xdr:from>
    <xdr:to>
      <xdr:col>7</xdr:col>
      <xdr:colOff>14432</xdr:colOff>
      <xdr:row>213</xdr:row>
      <xdr:rowOff>7216</xdr:rowOff>
    </xdr:to>
    <xdr:cxnSp macro="">
      <xdr:nvCxnSpPr>
        <xdr:cNvPr id="162" name="Conector recto de flecha 16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CxnSpPr/>
      </xdr:nvCxnSpPr>
      <xdr:spPr>
        <a:xfrm>
          <a:off x="364537" y="40645880"/>
          <a:ext cx="1008089" cy="1336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66675</xdr:colOff>
      <xdr:row>207</xdr:row>
      <xdr:rowOff>104775</xdr:rowOff>
    </xdr:from>
    <xdr:ext cx="1295400" cy="32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3" name="CuadroTexto 162">
              <a:extLst>
                <a:ext uri="{FF2B5EF4-FFF2-40B4-BE49-F238E27FC236}">
                  <a16:creationId xmlns:a16="http://schemas.microsoft.com/office/drawing/2014/main" id="{00000000-0008-0000-0400-0000A3000000}"/>
                </a:ext>
              </a:extLst>
            </xdr:cNvPr>
            <xdr:cNvSpPr txBox="1"/>
          </xdr:nvSpPr>
          <xdr:spPr>
            <a:xfrm>
              <a:off x="3508664" y="35188525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p>
                      <m:sSup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e>
                          <m:sub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sub>
                        </m:sSub>
                      </m:e>
                      <m:sup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63" name="CuadroTexto 162">
              <a:extLst>
                <a:ext uri="{FF2B5EF4-FFF2-40B4-BE49-F238E27FC236}">
                  <a16:creationId xmlns:a16="http://schemas.microsoft.com/office/drawing/2014/main" id="{B306992C-9C5C-4E2A-9491-C38C327C05DE}"/>
                </a:ext>
              </a:extLst>
            </xdr:cNvPr>
            <xdr:cNvSpPr txBox="1"/>
          </xdr:nvSpPr>
          <xdr:spPr>
            <a:xfrm>
              <a:off x="3508664" y="35188525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𝐸_𝐴=1/2∗𝐾_𝑎∗𝛾_𝑆∗〖</a:t>
              </a:r>
              <a:r>
                <a:rPr lang="es-PE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𝐻_𝑇〗^</a:t>
              </a:r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17</xdr:col>
      <xdr:colOff>0</xdr:colOff>
      <xdr:row>209</xdr:row>
      <xdr:rowOff>161925</xdr:rowOff>
    </xdr:from>
    <xdr:ext cx="800100" cy="219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4" name="CuadroTexto 163">
              <a:extLst>
                <a:ext uri="{FF2B5EF4-FFF2-40B4-BE49-F238E27FC236}">
                  <a16:creationId xmlns:a16="http://schemas.microsoft.com/office/drawing/2014/main" id="{00000000-0008-0000-0400-0000A4000000}"/>
                </a:ext>
              </a:extLst>
            </xdr:cNvPr>
            <xdr:cNvSpPr txBox="1"/>
          </xdr:nvSpPr>
          <xdr:spPr>
            <a:xfrm>
              <a:off x="3441989" y="35620902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𝑌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64" name="CuadroTexto 163">
              <a:extLst>
                <a:ext uri="{FF2B5EF4-FFF2-40B4-BE49-F238E27FC236}">
                  <a16:creationId xmlns:a16="http://schemas.microsoft.com/office/drawing/2014/main" id="{91CFA3DF-C88A-4A9E-A141-825853ABC2D1}"/>
                </a:ext>
              </a:extLst>
            </xdr:cNvPr>
            <xdr:cNvSpPr txBox="1"/>
          </xdr:nvSpPr>
          <xdr:spPr>
            <a:xfrm>
              <a:off x="3441989" y="35620902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𝑀_𝐴=𝐸_𝐴∗𝑌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7</xdr:col>
      <xdr:colOff>7216</xdr:colOff>
      <xdr:row>198</xdr:row>
      <xdr:rowOff>45589</xdr:rowOff>
    </xdr:from>
    <xdr:to>
      <xdr:col>9</xdr:col>
      <xdr:colOff>65128</xdr:colOff>
      <xdr:row>198</xdr:row>
      <xdr:rowOff>47625</xdr:rowOff>
    </xdr:to>
    <xdr:cxnSp macro="">
      <xdr:nvCxnSpPr>
        <xdr:cNvPr id="165" name="Conector recto de flecha 164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CxnSpPr/>
      </xdr:nvCxnSpPr>
      <xdr:spPr>
        <a:xfrm flipV="1">
          <a:off x="1385166" y="38742489"/>
          <a:ext cx="496062" cy="2036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152401</xdr:colOff>
      <xdr:row>218</xdr:row>
      <xdr:rowOff>95250</xdr:rowOff>
    </xdr:from>
    <xdr:ext cx="81915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6" name="CuadroTexto 165">
              <a:extLst>
                <a:ext uri="{FF2B5EF4-FFF2-40B4-BE49-F238E27FC236}">
                  <a16:creationId xmlns:a16="http://schemas.microsoft.com/office/drawing/2014/main" id="{00000000-0008-0000-0400-0000A6000000}"/>
                </a:ext>
              </a:extLst>
            </xdr:cNvPr>
            <xdr:cNvSpPr txBox="1"/>
          </xdr:nvSpPr>
          <xdr:spPr>
            <a:xfrm>
              <a:off x="347231" y="36304682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𝐹𝑆𝐷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66" name="CuadroTexto 165">
              <a:extLst>
                <a:ext uri="{FF2B5EF4-FFF2-40B4-BE49-F238E27FC236}">
                  <a16:creationId xmlns:a16="http://schemas.microsoft.com/office/drawing/2014/main" id="{A774C677-7748-4239-BB33-80E8B3FA7673}"/>
                </a:ext>
              </a:extLst>
            </xdr:cNvPr>
            <xdr:cNvSpPr txBox="1"/>
          </xdr:nvSpPr>
          <xdr:spPr>
            <a:xfrm>
              <a:off x="347231" y="36304682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(𝑓∗𝑃)/𝐸_𝐴 ≥𝐹𝑆𝐷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17</xdr:col>
      <xdr:colOff>114300</xdr:colOff>
      <xdr:row>218</xdr:row>
      <xdr:rowOff>66675</xdr:rowOff>
    </xdr:from>
    <xdr:ext cx="771525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7" name="CuadroTexto 166">
              <a:extLst>
                <a:ext uri="{FF2B5EF4-FFF2-40B4-BE49-F238E27FC236}">
                  <a16:creationId xmlns:a16="http://schemas.microsoft.com/office/drawing/2014/main" id="{00000000-0008-0000-0400-0000A7000000}"/>
                </a:ext>
              </a:extLst>
            </xdr:cNvPr>
            <xdr:cNvSpPr txBox="1"/>
          </xdr:nvSpPr>
          <xdr:spPr>
            <a:xfrm>
              <a:off x="3556289" y="36276107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𝐹𝑆𝑉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67" name="CuadroTexto 166">
              <a:extLst>
                <a:ext uri="{FF2B5EF4-FFF2-40B4-BE49-F238E27FC236}">
                  <a16:creationId xmlns:a16="http://schemas.microsoft.com/office/drawing/2014/main" id="{1A2EDCFA-B0B0-4B85-BD1C-7061BA9B351A}"/>
                </a:ext>
              </a:extLst>
            </xdr:cNvPr>
            <xdr:cNvSpPr txBox="1"/>
          </xdr:nvSpPr>
          <xdr:spPr>
            <a:xfrm>
              <a:off x="3556289" y="36276107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𝑀_𝑟/𝑀_𝐴 ≥𝐹𝑆𝑉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133350</xdr:colOff>
      <xdr:row>219</xdr:row>
      <xdr:rowOff>9525</xdr:rowOff>
    </xdr:from>
    <xdr:ext cx="23474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8" name="CuadroTexto 167">
              <a:extLst>
                <a:ext uri="{FF2B5EF4-FFF2-40B4-BE49-F238E27FC236}">
                  <a16:creationId xmlns:a16="http://schemas.microsoft.com/office/drawing/2014/main" id="{00000000-0008-0000-0400-0000A8000000}"/>
                </a:ext>
              </a:extLst>
            </xdr:cNvPr>
            <xdr:cNvSpPr txBox="1"/>
          </xdr:nvSpPr>
          <xdr:spPr>
            <a:xfrm>
              <a:off x="1691986" y="36406570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b="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es-PE" sz="10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68" name="CuadroTexto 167">
              <a:extLst>
                <a:ext uri="{FF2B5EF4-FFF2-40B4-BE49-F238E27FC236}">
                  <a16:creationId xmlns:a16="http://schemas.microsoft.com/office/drawing/2014/main" id="{875D4CAB-DB17-4DDC-890C-FCD88AE2B011}"/>
                </a:ext>
              </a:extLst>
            </xdr:cNvPr>
            <xdr:cNvSpPr txBox="1"/>
          </xdr:nvSpPr>
          <xdr:spPr>
            <a:xfrm>
              <a:off x="1691986" y="36406570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b="0" i="0">
                  <a:latin typeface="Cambria Math" panose="02040503050406030204" pitchFamily="18" charset="0"/>
                </a:rPr>
                <a:t>𝑓=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4</xdr:col>
      <xdr:colOff>80683</xdr:colOff>
      <xdr:row>209</xdr:row>
      <xdr:rowOff>188819</xdr:rowOff>
    </xdr:from>
    <xdr:to>
      <xdr:col>4</xdr:col>
      <xdr:colOff>80683</xdr:colOff>
      <xdr:row>211</xdr:row>
      <xdr:rowOff>104215</xdr:rowOff>
    </xdr:to>
    <xdr:cxnSp macro="">
      <xdr:nvCxnSpPr>
        <xdr:cNvPr id="177" name="Conector recto de flecha 176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CxnSpPr/>
      </xdr:nvCxnSpPr>
      <xdr:spPr>
        <a:xfrm>
          <a:off x="860001" y="38274387"/>
          <a:ext cx="0" cy="290623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6163</xdr:colOff>
      <xdr:row>208</xdr:row>
      <xdr:rowOff>133350</xdr:rowOff>
    </xdr:from>
    <xdr:ext cx="308739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8" name="CuadroTexto 177">
              <a:extLst>
                <a:ext uri="{FF2B5EF4-FFF2-40B4-BE49-F238E27FC236}">
                  <a16:creationId xmlns:a16="http://schemas.microsoft.com/office/drawing/2014/main" id="{00000000-0008-0000-0400-0000B2000000}"/>
                </a:ext>
              </a:extLst>
            </xdr:cNvPr>
            <xdr:cNvSpPr txBox="1"/>
          </xdr:nvSpPr>
          <xdr:spPr>
            <a:xfrm>
              <a:off x="789780" y="40043776"/>
              <a:ext cx="308739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𝑨𝑽𝑰𝑰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178" name="CuadroTexto 177">
              <a:extLst>
                <a:ext uri="{FF2B5EF4-FFF2-40B4-BE49-F238E27FC236}">
                  <a16:creationId xmlns:a16="http://schemas.microsoft.com/office/drawing/2014/main" id="{F8DBD081-844C-4719-AF36-B503EBF6309F}"/>
                </a:ext>
              </a:extLst>
            </xdr:cNvPr>
            <xdr:cNvSpPr txBox="1"/>
          </xdr:nvSpPr>
          <xdr:spPr>
            <a:xfrm>
              <a:off x="789780" y="40043776"/>
              <a:ext cx="308739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𝑨𝑽𝑰𝑰</a:t>
              </a:r>
              <a:endParaRPr lang="es-MX" sz="1000" b="1"/>
            </a:p>
          </xdr:txBody>
        </xdr:sp>
      </mc:Fallback>
    </mc:AlternateContent>
    <xdr:clientData/>
  </xdr:oneCellAnchor>
  <xdr:twoCellAnchor>
    <xdr:from>
      <xdr:col>9</xdr:col>
      <xdr:colOff>80683</xdr:colOff>
      <xdr:row>209</xdr:row>
      <xdr:rowOff>188819</xdr:rowOff>
    </xdr:from>
    <xdr:to>
      <xdr:col>9</xdr:col>
      <xdr:colOff>80683</xdr:colOff>
      <xdr:row>211</xdr:row>
      <xdr:rowOff>104215</xdr:rowOff>
    </xdr:to>
    <xdr:cxnSp macro="">
      <xdr:nvCxnSpPr>
        <xdr:cNvPr id="179" name="Conector recto de flecha 178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CxnSpPr/>
      </xdr:nvCxnSpPr>
      <xdr:spPr>
        <a:xfrm>
          <a:off x="860001" y="38274387"/>
          <a:ext cx="0" cy="290623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6163</xdr:colOff>
      <xdr:row>208</xdr:row>
      <xdr:rowOff>133350</xdr:rowOff>
    </xdr:from>
    <xdr:ext cx="252890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0" name="CuadroTexto 179">
              <a:extLst>
                <a:ext uri="{FF2B5EF4-FFF2-40B4-BE49-F238E27FC236}">
                  <a16:creationId xmlns:a16="http://schemas.microsoft.com/office/drawing/2014/main" id="{00000000-0008-0000-0400-0000B4000000}"/>
                </a:ext>
              </a:extLst>
            </xdr:cNvPr>
            <xdr:cNvSpPr txBox="1"/>
          </xdr:nvSpPr>
          <xdr:spPr>
            <a:xfrm>
              <a:off x="1816589" y="40043776"/>
              <a:ext cx="252890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𝑨𝑽𝑰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180" name="CuadroTexto 179">
              <a:extLst>
                <a:ext uri="{FF2B5EF4-FFF2-40B4-BE49-F238E27FC236}">
                  <a16:creationId xmlns:a16="http://schemas.microsoft.com/office/drawing/2014/main" id="{1F86A215-80FB-43EA-AE30-6BD4CB25363D}"/>
                </a:ext>
              </a:extLst>
            </xdr:cNvPr>
            <xdr:cNvSpPr txBox="1"/>
          </xdr:nvSpPr>
          <xdr:spPr>
            <a:xfrm>
              <a:off x="1816589" y="40043776"/>
              <a:ext cx="252890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𝑨𝑽𝑰</a:t>
              </a:r>
              <a:endParaRPr lang="es-MX" sz="1000" b="1"/>
            </a:p>
          </xdr:txBody>
        </xdr:sp>
      </mc:Fallback>
    </mc:AlternateContent>
    <xdr:clientData/>
  </xdr:oneCellAnchor>
  <xdr:twoCellAnchor>
    <xdr:from>
      <xdr:col>7</xdr:col>
      <xdr:colOff>1959</xdr:colOff>
      <xdr:row>213</xdr:row>
      <xdr:rowOff>6756</xdr:rowOff>
    </xdr:from>
    <xdr:to>
      <xdr:col>11</xdr:col>
      <xdr:colOff>243192</xdr:colOff>
      <xdr:row>213</xdr:row>
      <xdr:rowOff>9235</xdr:rowOff>
    </xdr:to>
    <xdr:cxnSp macro="">
      <xdr:nvCxnSpPr>
        <xdr:cNvPr id="182" name="Conector recto de flecha 181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CxnSpPr/>
      </xdr:nvCxnSpPr>
      <xdr:spPr>
        <a:xfrm flipV="1">
          <a:off x="1373289" y="40862926"/>
          <a:ext cx="1072137" cy="2479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25743</xdr:colOff>
      <xdr:row>207</xdr:row>
      <xdr:rowOff>184494</xdr:rowOff>
    </xdr:from>
    <xdr:to>
      <xdr:col>13</xdr:col>
      <xdr:colOff>33778</xdr:colOff>
      <xdr:row>212</xdr:row>
      <xdr:rowOff>19726</xdr:rowOff>
    </xdr:to>
    <xdr:cxnSp macro="">
      <xdr:nvCxnSpPr>
        <xdr:cNvPr id="186" name="Conector recto de flecha 185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CxnSpPr/>
      </xdr:nvCxnSpPr>
      <xdr:spPr>
        <a:xfrm>
          <a:off x="2741655" y="40232399"/>
          <a:ext cx="8035" cy="779151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56987</xdr:colOff>
      <xdr:row>198</xdr:row>
      <xdr:rowOff>49660</xdr:rowOff>
    </xdr:from>
    <xdr:to>
      <xdr:col>11</xdr:col>
      <xdr:colOff>226642</xdr:colOff>
      <xdr:row>198</xdr:row>
      <xdr:rowOff>53068</xdr:rowOff>
    </xdr:to>
    <xdr:cxnSp macro="">
      <xdr:nvCxnSpPr>
        <xdr:cNvPr id="124" name="Conector recto de flecha 12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CxnSpPr/>
      </xdr:nvCxnSpPr>
      <xdr:spPr>
        <a:xfrm>
          <a:off x="1873087" y="38746560"/>
          <a:ext cx="563355" cy="3408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13386</xdr:colOff>
      <xdr:row>232</xdr:row>
      <xdr:rowOff>3922</xdr:rowOff>
    </xdr:from>
    <xdr:ext cx="37247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CuadroTexto 131">
              <a:extLst>
                <a:ext uri="{FF2B5EF4-FFF2-40B4-BE49-F238E27FC236}">
                  <a16:creationId xmlns:a16="http://schemas.microsoft.com/office/drawing/2014/main" id="{00000000-0008-0000-0400-000084000000}"/>
                </a:ext>
              </a:extLst>
            </xdr:cNvPr>
            <xdr:cNvSpPr txBox="1"/>
          </xdr:nvSpPr>
          <xdr:spPr>
            <a:xfrm>
              <a:off x="990309" y="39184643"/>
              <a:ext cx="372474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𝑩𝑽𝑰𝑰𝑰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132" name="CuadroTexto 131">
              <a:extLst>
                <a:ext uri="{FF2B5EF4-FFF2-40B4-BE49-F238E27FC236}">
                  <a16:creationId xmlns:a16="http://schemas.microsoft.com/office/drawing/2014/main" id="{B6EA4D5A-BB59-468E-A436-C309F3ADDD08}"/>
                </a:ext>
              </a:extLst>
            </xdr:cNvPr>
            <xdr:cNvSpPr txBox="1"/>
          </xdr:nvSpPr>
          <xdr:spPr>
            <a:xfrm>
              <a:off x="990309" y="39184643"/>
              <a:ext cx="372474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𝑩𝑽𝑰𝑰𝑰</a:t>
              </a:r>
              <a:endParaRPr lang="en-US" sz="1000" b="1"/>
            </a:p>
          </xdr:txBody>
        </xdr:sp>
      </mc:Fallback>
    </mc:AlternateContent>
    <xdr:clientData/>
  </xdr:oneCellAnchor>
  <xdr:twoCellAnchor>
    <xdr:from>
      <xdr:col>9</xdr:col>
      <xdr:colOff>116728</xdr:colOff>
      <xdr:row>226</xdr:row>
      <xdr:rowOff>177426</xdr:rowOff>
    </xdr:from>
    <xdr:to>
      <xdr:col>9</xdr:col>
      <xdr:colOff>121398</xdr:colOff>
      <xdr:row>231</xdr:row>
      <xdr:rowOff>0</xdr:rowOff>
    </xdr:to>
    <xdr:cxnSp macro="">
      <xdr:nvCxnSpPr>
        <xdr:cNvPr id="134" name="Conector recto de flecha 13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CxnSpPr/>
      </xdr:nvCxnSpPr>
      <xdr:spPr>
        <a:xfrm flipH="1">
          <a:off x="1924036" y="38222474"/>
          <a:ext cx="4670" cy="768968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187087</xdr:colOff>
      <xdr:row>244</xdr:row>
      <xdr:rowOff>114357</xdr:rowOff>
    </xdr:from>
    <xdr:to>
      <xdr:col>14</xdr:col>
      <xdr:colOff>57219</xdr:colOff>
      <xdr:row>245</xdr:row>
      <xdr:rowOff>20787</xdr:rowOff>
    </xdr:to>
    <xdr:sp macro="" textlink="">
      <xdr:nvSpPr>
        <xdr:cNvPr id="135" name="Elipse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/>
      </xdr:nvSpPr>
      <xdr:spPr>
        <a:xfrm>
          <a:off x="2891943" y="46866232"/>
          <a:ext cx="96045" cy="9570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80683</xdr:colOff>
      <xdr:row>228</xdr:row>
      <xdr:rowOff>188819</xdr:rowOff>
    </xdr:from>
    <xdr:to>
      <xdr:col>4</xdr:col>
      <xdr:colOff>80683</xdr:colOff>
      <xdr:row>230</xdr:row>
      <xdr:rowOff>104215</xdr:rowOff>
    </xdr:to>
    <xdr:cxnSp macro="">
      <xdr:nvCxnSpPr>
        <xdr:cNvPr id="136" name="Conector recto de flecha 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CxnSpPr/>
      </xdr:nvCxnSpPr>
      <xdr:spPr>
        <a:xfrm>
          <a:off x="862221" y="38612425"/>
          <a:ext cx="0" cy="293953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6163</xdr:colOff>
      <xdr:row>227</xdr:row>
      <xdr:rowOff>133350</xdr:rowOff>
    </xdr:from>
    <xdr:ext cx="25846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7" name="CuadroTexto 136">
              <a:extLst>
                <a:ext uri="{FF2B5EF4-FFF2-40B4-BE49-F238E27FC236}">
                  <a16:creationId xmlns:a16="http://schemas.microsoft.com/office/drawing/2014/main" id="{00000000-0008-0000-0400-000089000000}"/>
                </a:ext>
              </a:extLst>
            </xdr:cNvPr>
            <xdr:cNvSpPr txBox="1"/>
          </xdr:nvSpPr>
          <xdr:spPr>
            <a:xfrm>
              <a:off x="787701" y="38367677"/>
              <a:ext cx="258468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𝑨𝑰𝑿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137" name="CuadroTexto 136">
              <a:extLst>
                <a:ext uri="{FF2B5EF4-FFF2-40B4-BE49-F238E27FC236}">
                  <a16:creationId xmlns:a16="http://schemas.microsoft.com/office/drawing/2014/main" id="{00F151FF-90FB-4A92-BA88-6D3BC0915637}"/>
                </a:ext>
              </a:extLst>
            </xdr:cNvPr>
            <xdr:cNvSpPr txBox="1"/>
          </xdr:nvSpPr>
          <xdr:spPr>
            <a:xfrm>
              <a:off x="787701" y="38367677"/>
              <a:ext cx="258468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𝑨𝑰𝑿</a:t>
              </a:r>
              <a:endParaRPr lang="es-MX" sz="1000" b="1"/>
            </a:p>
          </xdr:txBody>
        </xdr:sp>
      </mc:Fallback>
    </mc:AlternateContent>
    <xdr:clientData/>
  </xdr:oneCellAnchor>
  <xdr:twoCellAnchor>
    <xdr:from>
      <xdr:col>1</xdr:col>
      <xdr:colOff>187323</xdr:colOff>
      <xdr:row>226</xdr:row>
      <xdr:rowOff>79375</xdr:rowOff>
    </xdr:from>
    <xdr:to>
      <xdr:col>7</xdr:col>
      <xdr:colOff>14432</xdr:colOff>
      <xdr:row>226</xdr:row>
      <xdr:rowOff>83128</xdr:rowOff>
    </xdr:to>
    <xdr:cxnSp macro="">
      <xdr:nvCxnSpPr>
        <xdr:cNvPr id="138" name="Conector recto de flecha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CxnSpPr/>
      </xdr:nvCxnSpPr>
      <xdr:spPr>
        <a:xfrm flipV="1">
          <a:off x="382708" y="38124423"/>
          <a:ext cx="999416" cy="375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98612</xdr:colOff>
      <xdr:row>233</xdr:row>
      <xdr:rowOff>83484</xdr:rowOff>
    </xdr:from>
    <xdr:to>
      <xdr:col>5</xdr:col>
      <xdr:colOff>98612</xdr:colOff>
      <xdr:row>234</xdr:row>
      <xdr:rowOff>189380</xdr:rowOff>
    </xdr:to>
    <xdr:cxnSp macro="">
      <xdr:nvCxnSpPr>
        <xdr:cNvPr id="139" name="Conector recto de flecha 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CxnSpPr/>
      </xdr:nvCxnSpPr>
      <xdr:spPr>
        <a:xfrm>
          <a:off x="1075535" y="39453484"/>
          <a:ext cx="0" cy="295175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112058</xdr:colOff>
      <xdr:row>230</xdr:row>
      <xdr:rowOff>182098</xdr:rowOff>
    </xdr:from>
    <xdr:to>
      <xdr:col>9</xdr:col>
      <xdr:colOff>114300</xdr:colOff>
      <xdr:row>235</xdr:row>
      <xdr:rowOff>152400</xdr:rowOff>
    </xdr:to>
    <xdr:cxnSp macro="">
      <xdr:nvCxnSpPr>
        <xdr:cNvPr id="140" name="Conector recto de flecha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CxnSpPr/>
      </xdr:nvCxnSpPr>
      <xdr:spPr>
        <a:xfrm>
          <a:off x="1919366" y="38984261"/>
          <a:ext cx="2242" cy="916697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5654</xdr:colOff>
      <xdr:row>245</xdr:row>
      <xdr:rowOff>182946</xdr:rowOff>
    </xdr:from>
    <xdr:to>
      <xdr:col>9</xdr:col>
      <xdr:colOff>0</xdr:colOff>
      <xdr:row>246</xdr:row>
      <xdr:rowOff>0</xdr:rowOff>
    </xdr:to>
    <xdr:cxnSp macro="">
      <xdr:nvCxnSpPr>
        <xdr:cNvPr id="141" name="Conector recto de flecha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CxnSpPr/>
      </xdr:nvCxnSpPr>
      <xdr:spPr>
        <a:xfrm>
          <a:off x="396423" y="47124100"/>
          <a:ext cx="1410885" cy="6333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66675</xdr:colOff>
      <xdr:row>241</xdr:row>
      <xdr:rowOff>104775</xdr:rowOff>
    </xdr:from>
    <xdr:ext cx="1295400" cy="32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2" name="CuadroTexto 141">
              <a:extLst>
                <a:ext uri="{FF2B5EF4-FFF2-40B4-BE49-F238E27FC236}">
                  <a16:creationId xmlns:a16="http://schemas.microsoft.com/office/drawing/2014/main" id="{00000000-0008-0000-0400-00008E000000}"/>
                </a:ext>
              </a:extLst>
            </xdr:cNvPr>
            <xdr:cNvSpPr txBox="1"/>
          </xdr:nvSpPr>
          <xdr:spPr>
            <a:xfrm>
              <a:off x="3583598" y="39853333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p>
                      <m:sSup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e>
                          <m:sub>
                            <m:r>
                              <a:rPr lang="es-PE" sz="1000" b="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sub>
                        </m:sSub>
                      </m:e>
                      <m:sup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2" name="CuadroTexto 141">
              <a:extLst>
                <a:ext uri="{FF2B5EF4-FFF2-40B4-BE49-F238E27FC236}">
                  <a16:creationId xmlns:a16="http://schemas.microsoft.com/office/drawing/2014/main" id="{382EAEB8-8966-492C-BEF3-C5C9711D5389}"/>
                </a:ext>
              </a:extLst>
            </xdr:cNvPr>
            <xdr:cNvSpPr txBox="1"/>
          </xdr:nvSpPr>
          <xdr:spPr>
            <a:xfrm>
              <a:off x="3583598" y="39853333"/>
              <a:ext cx="1295400" cy="32385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𝐸_𝐴=1/2∗𝐾_𝑎∗𝛾_𝑆∗〖</a:t>
              </a:r>
              <a:r>
                <a:rPr lang="es-PE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𝐻_𝑇〗^</a:t>
              </a:r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19</xdr:col>
      <xdr:colOff>0</xdr:colOff>
      <xdr:row>243</xdr:row>
      <xdr:rowOff>161925</xdr:rowOff>
    </xdr:from>
    <xdr:ext cx="800100" cy="219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3" name="CuadroTexto 142">
              <a:extLst>
                <a:ext uri="{FF2B5EF4-FFF2-40B4-BE49-F238E27FC236}">
                  <a16:creationId xmlns:a16="http://schemas.microsoft.com/office/drawing/2014/main" id="{00000000-0008-0000-0400-00008F000000}"/>
                </a:ext>
              </a:extLst>
            </xdr:cNvPr>
            <xdr:cNvSpPr txBox="1"/>
          </xdr:nvSpPr>
          <xdr:spPr>
            <a:xfrm>
              <a:off x="3516923" y="40289040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𝑌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3" name="CuadroTexto 142">
              <a:extLst>
                <a:ext uri="{FF2B5EF4-FFF2-40B4-BE49-F238E27FC236}">
                  <a16:creationId xmlns:a16="http://schemas.microsoft.com/office/drawing/2014/main" id="{64B0EF53-FCDC-495E-B196-35302F616F63}"/>
                </a:ext>
              </a:extLst>
            </xdr:cNvPr>
            <xdr:cNvSpPr txBox="1"/>
          </xdr:nvSpPr>
          <xdr:spPr>
            <a:xfrm>
              <a:off x="3516923" y="40289040"/>
              <a:ext cx="800100" cy="219075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𝑀_𝐴=𝐸_𝐴∗𝑌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7</xdr:col>
      <xdr:colOff>7216</xdr:colOff>
      <xdr:row>226</xdr:row>
      <xdr:rowOff>77339</xdr:rowOff>
    </xdr:from>
    <xdr:to>
      <xdr:col>9</xdr:col>
      <xdr:colOff>65128</xdr:colOff>
      <xdr:row>226</xdr:row>
      <xdr:rowOff>79375</xdr:rowOff>
    </xdr:to>
    <xdr:cxnSp macro="">
      <xdr:nvCxnSpPr>
        <xdr:cNvPr id="144" name="Conector recto de flecha 143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CxnSpPr/>
      </xdr:nvCxnSpPr>
      <xdr:spPr>
        <a:xfrm flipV="1">
          <a:off x="1374908" y="38122387"/>
          <a:ext cx="497528" cy="2036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152401</xdr:colOff>
      <xdr:row>252</xdr:row>
      <xdr:rowOff>95250</xdr:rowOff>
    </xdr:from>
    <xdr:ext cx="81915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5" name="CuadroTexto 144">
              <a:extLst>
                <a:ext uri="{FF2B5EF4-FFF2-40B4-BE49-F238E27FC236}">
                  <a16:creationId xmlns:a16="http://schemas.microsoft.com/office/drawing/2014/main" id="{00000000-0008-0000-0400-000091000000}"/>
                </a:ext>
              </a:extLst>
            </xdr:cNvPr>
            <xdr:cNvSpPr txBox="1"/>
          </xdr:nvSpPr>
          <xdr:spPr>
            <a:xfrm>
              <a:off x="347786" y="41925875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𝐹𝑆𝐷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5" name="CuadroTexto 144">
              <a:extLst>
                <a:ext uri="{FF2B5EF4-FFF2-40B4-BE49-F238E27FC236}">
                  <a16:creationId xmlns:a16="http://schemas.microsoft.com/office/drawing/2014/main" id="{140EECFA-3998-4A34-AFE6-098CB6884840}"/>
                </a:ext>
              </a:extLst>
            </xdr:cNvPr>
            <xdr:cNvSpPr txBox="1"/>
          </xdr:nvSpPr>
          <xdr:spPr>
            <a:xfrm>
              <a:off x="347786" y="41925875"/>
              <a:ext cx="819150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(𝑓∗𝑃)/𝐸_𝐴 ≥𝐹𝑆𝐷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17</xdr:col>
      <xdr:colOff>114300</xdr:colOff>
      <xdr:row>252</xdr:row>
      <xdr:rowOff>66675</xdr:rowOff>
    </xdr:from>
    <xdr:ext cx="771525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6" name="CuadroTexto 145">
              <a:extLst>
                <a:ext uri="{FF2B5EF4-FFF2-40B4-BE49-F238E27FC236}">
                  <a16:creationId xmlns:a16="http://schemas.microsoft.com/office/drawing/2014/main" id="{00000000-0008-0000-0400-000092000000}"/>
                </a:ext>
              </a:extLst>
            </xdr:cNvPr>
            <xdr:cNvSpPr txBox="1"/>
          </xdr:nvSpPr>
          <xdr:spPr>
            <a:xfrm>
              <a:off x="3631223" y="41897300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</m:e>
                          <m:sub>
                            <m:r>
                              <a:rPr lang="es-PE" sz="1000" i="1">
                                <a:solidFill>
                                  <a:schemeClr val="tx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b>
                        </m:sSub>
                      </m:den>
                    </m:f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≥</m:t>
                    </m:r>
                    <m:r>
                      <a:rPr lang="es-PE" sz="1000" i="1">
                        <a:solidFill>
                          <a:schemeClr val="tx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𝐹𝑆𝑉</m:t>
                    </m:r>
                  </m:oMath>
                </m:oMathPara>
              </a14:m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6" name="CuadroTexto 145">
              <a:extLst>
                <a:ext uri="{FF2B5EF4-FFF2-40B4-BE49-F238E27FC236}">
                  <a16:creationId xmlns:a16="http://schemas.microsoft.com/office/drawing/2014/main" id="{4A67D523-F09C-4726-AFB6-E8F2E58AD521}"/>
                </a:ext>
              </a:extLst>
            </xdr:cNvPr>
            <xdr:cNvSpPr txBox="1"/>
          </xdr:nvSpPr>
          <xdr:spPr>
            <a:xfrm>
              <a:off x="3631223" y="41897300"/>
              <a:ext cx="771525" cy="381000"/>
            </a:xfrm>
            <a:prstGeom prst="rect">
              <a:avLst/>
            </a:prstGeom>
            <a:noFill/>
            <a:ln w="3175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/>
              <a:r>
                <a:rPr lang="es-PE" sz="100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𝑀_𝑟/𝑀_𝐴 ≥𝐹𝑆𝑉</a:t>
              </a:r>
              <a:endParaRPr lang="es-PE" sz="100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133350</xdr:colOff>
      <xdr:row>253</xdr:row>
      <xdr:rowOff>9525</xdr:rowOff>
    </xdr:from>
    <xdr:ext cx="23474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7" name="CuadroTexto 146">
              <a:extLst>
                <a:ext uri="{FF2B5EF4-FFF2-40B4-BE49-F238E27FC236}">
                  <a16:creationId xmlns:a16="http://schemas.microsoft.com/office/drawing/2014/main" id="{00000000-0008-0000-0400-000093000000}"/>
                </a:ext>
              </a:extLst>
            </xdr:cNvPr>
            <xdr:cNvSpPr txBox="1"/>
          </xdr:nvSpPr>
          <xdr:spPr>
            <a:xfrm>
              <a:off x="1696427" y="42029429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000" b="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es-PE" sz="10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147" name="CuadroTexto 146">
              <a:extLst>
                <a:ext uri="{FF2B5EF4-FFF2-40B4-BE49-F238E27FC236}">
                  <a16:creationId xmlns:a16="http://schemas.microsoft.com/office/drawing/2014/main" id="{573BC628-E639-4F82-8DED-9D043584126D}"/>
                </a:ext>
              </a:extLst>
            </xdr:cNvPr>
            <xdr:cNvSpPr txBox="1"/>
          </xdr:nvSpPr>
          <xdr:spPr>
            <a:xfrm>
              <a:off x="1696427" y="42029429"/>
              <a:ext cx="23474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b="0" i="0">
                  <a:latin typeface="Cambria Math" panose="02040503050406030204" pitchFamily="18" charset="0"/>
                </a:rPr>
                <a:t>𝑓=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4</xdr:col>
      <xdr:colOff>80683</xdr:colOff>
      <xdr:row>237</xdr:row>
      <xdr:rowOff>188819</xdr:rowOff>
    </xdr:from>
    <xdr:to>
      <xdr:col>4</xdr:col>
      <xdr:colOff>80683</xdr:colOff>
      <xdr:row>239</xdr:row>
      <xdr:rowOff>104215</xdr:rowOff>
    </xdr:to>
    <xdr:cxnSp macro="">
      <xdr:nvCxnSpPr>
        <xdr:cNvPr id="148" name="Conector recto de flecha 147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CxnSpPr/>
      </xdr:nvCxnSpPr>
      <xdr:spPr>
        <a:xfrm>
          <a:off x="862221" y="40315934"/>
          <a:ext cx="0" cy="293954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6163</xdr:colOff>
      <xdr:row>236</xdr:row>
      <xdr:rowOff>133350</xdr:rowOff>
    </xdr:from>
    <xdr:ext cx="308739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9" name="CuadroTexto 148">
              <a:extLst>
                <a:ext uri="{FF2B5EF4-FFF2-40B4-BE49-F238E27FC236}">
                  <a16:creationId xmlns:a16="http://schemas.microsoft.com/office/drawing/2014/main" id="{00000000-0008-0000-0400-000095000000}"/>
                </a:ext>
              </a:extLst>
            </xdr:cNvPr>
            <xdr:cNvSpPr txBox="1"/>
          </xdr:nvSpPr>
          <xdr:spPr>
            <a:xfrm>
              <a:off x="787701" y="40071187"/>
              <a:ext cx="308739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𝑨𝑽𝑰𝑰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149" name="CuadroTexto 148">
              <a:extLst>
                <a:ext uri="{FF2B5EF4-FFF2-40B4-BE49-F238E27FC236}">
                  <a16:creationId xmlns:a16="http://schemas.microsoft.com/office/drawing/2014/main" id="{19C68E57-947A-4BE8-A545-F7596C31720B}"/>
                </a:ext>
              </a:extLst>
            </xdr:cNvPr>
            <xdr:cNvSpPr txBox="1"/>
          </xdr:nvSpPr>
          <xdr:spPr>
            <a:xfrm>
              <a:off x="787701" y="40071187"/>
              <a:ext cx="308739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𝑨𝑽𝑰𝑰</a:t>
              </a:r>
              <a:endParaRPr lang="es-MX" sz="1000" b="1"/>
            </a:p>
          </xdr:txBody>
        </xdr:sp>
      </mc:Fallback>
    </mc:AlternateContent>
    <xdr:clientData/>
  </xdr:oneCellAnchor>
  <xdr:twoCellAnchor>
    <xdr:from>
      <xdr:col>9</xdr:col>
      <xdr:colOff>80683</xdr:colOff>
      <xdr:row>237</xdr:row>
      <xdr:rowOff>188819</xdr:rowOff>
    </xdr:from>
    <xdr:to>
      <xdr:col>9</xdr:col>
      <xdr:colOff>80683</xdr:colOff>
      <xdr:row>239</xdr:row>
      <xdr:rowOff>104215</xdr:rowOff>
    </xdr:to>
    <xdr:cxnSp macro="">
      <xdr:nvCxnSpPr>
        <xdr:cNvPr id="150" name="Conector recto de flecha 149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CxnSpPr/>
      </xdr:nvCxnSpPr>
      <xdr:spPr>
        <a:xfrm>
          <a:off x="1887991" y="40315934"/>
          <a:ext cx="0" cy="293954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6163</xdr:colOff>
      <xdr:row>236</xdr:row>
      <xdr:rowOff>133350</xdr:rowOff>
    </xdr:from>
    <xdr:ext cx="252890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1" name="CuadroTexto 150">
              <a:extLst>
                <a:ext uri="{FF2B5EF4-FFF2-40B4-BE49-F238E27FC236}">
                  <a16:creationId xmlns:a16="http://schemas.microsoft.com/office/drawing/2014/main" id="{00000000-0008-0000-0400-000097000000}"/>
                </a:ext>
              </a:extLst>
            </xdr:cNvPr>
            <xdr:cNvSpPr txBox="1"/>
          </xdr:nvSpPr>
          <xdr:spPr>
            <a:xfrm>
              <a:off x="1813471" y="40071187"/>
              <a:ext cx="252890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𝑨𝑽𝑰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151" name="CuadroTexto 150">
              <a:extLst>
                <a:ext uri="{FF2B5EF4-FFF2-40B4-BE49-F238E27FC236}">
                  <a16:creationId xmlns:a16="http://schemas.microsoft.com/office/drawing/2014/main" id="{DADB6F5B-3FB7-4B04-B1BB-08230A60AD18}"/>
                </a:ext>
              </a:extLst>
            </xdr:cNvPr>
            <xdr:cNvSpPr txBox="1"/>
          </xdr:nvSpPr>
          <xdr:spPr>
            <a:xfrm>
              <a:off x="1813471" y="40071187"/>
              <a:ext cx="252890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𝑨𝑽𝑰</a:t>
              </a:r>
              <a:endParaRPr lang="es-MX" sz="1000" b="1"/>
            </a:p>
          </xdr:txBody>
        </xdr:sp>
      </mc:Fallback>
    </mc:AlternateContent>
    <xdr:clientData/>
  </xdr:oneCellAnchor>
  <xdr:twoCellAnchor>
    <xdr:from>
      <xdr:col>8</xdr:col>
      <xdr:colOff>240084</xdr:colOff>
      <xdr:row>246</xdr:row>
      <xdr:rowOff>650</xdr:rowOff>
    </xdr:from>
    <xdr:to>
      <xdr:col>13</xdr:col>
      <xdr:colOff>218769</xdr:colOff>
      <xdr:row>246</xdr:row>
      <xdr:rowOff>3129</xdr:rowOff>
    </xdr:to>
    <xdr:cxnSp macro="">
      <xdr:nvCxnSpPr>
        <xdr:cNvPr id="152" name="Conector recto de flecha 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CxnSpPr/>
      </xdr:nvCxnSpPr>
      <xdr:spPr>
        <a:xfrm flipV="1">
          <a:off x="1803161" y="47131083"/>
          <a:ext cx="1120464" cy="2479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204739</xdr:colOff>
      <xdr:row>235</xdr:row>
      <xdr:rowOff>177718</xdr:rowOff>
    </xdr:from>
    <xdr:to>
      <xdr:col>12</xdr:col>
      <xdr:colOff>211494</xdr:colOff>
      <xdr:row>240</xdr:row>
      <xdr:rowOff>1409</xdr:rowOff>
    </xdr:to>
    <xdr:cxnSp macro="">
      <xdr:nvCxnSpPr>
        <xdr:cNvPr id="153" name="Conector recto de flecha 15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CxnSpPr/>
      </xdr:nvCxnSpPr>
      <xdr:spPr>
        <a:xfrm flipH="1">
          <a:off x="2653152" y="45226083"/>
          <a:ext cx="6755" cy="770086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56987</xdr:colOff>
      <xdr:row>226</xdr:row>
      <xdr:rowOff>81410</xdr:rowOff>
    </xdr:from>
    <xdr:to>
      <xdr:col>11</xdr:col>
      <xdr:colOff>226642</xdr:colOff>
      <xdr:row>226</xdr:row>
      <xdr:rowOff>84818</xdr:rowOff>
    </xdr:to>
    <xdr:cxnSp macro="">
      <xdr:nvCxnSpPr>
        <xdr:cNvPr id="169" name="Conector recto de flecha 168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CxnSpPr/>
      </xdr:nvCxnSpPr>
      <xdr:spPr>
        <a:xfrm>
          <a:off x="1864295" y="38126458"/>
          <a:ext cx="560424" cy="3408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13386</xdr:colOff>
      <xdr:row>241</xdr:row>
      <xdr:rowOff>3922</xdr:rowOff>
    </xdr:from>
    <xdr:ext cx="20492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0" name="CuadroTexto 169">
              <a:extLst>
                <a:ext uri="{FF2B5EF4-FFF2-40B4-BE49-F238E27FC236}">
                  <a16:creationId xmlns:a16="http://schemas.microsoft.com/office/drawing/2014/main" id="{00000000-0008-0000-0400-0000AA000000}"/>
                </a:ext>
              </a:extLst>
            </xdr:cNvPr>
            <xdr:cNvSpPr txBox="1"/>
          </xdr:nvSpPr>
          <xdr:spPr>
            <a:xfrm>
              <a:off x="990309" y="46187960"/>
              <a:ext cx="204928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𝑩𝑽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170" name="CuadroTexto 169">
              <a:extLst>
                <a:ext uri="{FF2B5EF4-FFF2-40B4-BE49-F238E27FC236}">
                  <a16:creationId xmlns:a16="http://schemas.microsoft.com/office/drawing/2014/main" id="{E8B08176-EC2B-4835-B2AE-0D31E3B9F4E3}"/>
                </a:ext>
              </a:extLst>
            </xdr:cNvPr>
            <xdr:cNvSpPr txBox="1"/>
          </xdr:nvSpPr>
          <xdr:spPr>
            <a:xfrm>
              <a:off x="990309" y="46187960"/>
              <a:ext cx="204928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𝑩𝑽</a:t>
              </a:r>
              <a:endParaRPr lang="en-US" sz="1000" b="1"/>
            </a:p>
          </xdr:txBody>
        </xdr:sp>
      </mc:Fallback>
    </mc:AlternateContent>
    <xdr:clientData/>
  </xdr:oneCellAnchor>
  <xdr:twoCellAnchor>
    <xdr:from>
      <xdr:col>5</xdr:col>
      <xdr:colOff>98612</xdr:colOff>
      <xdr:row>242</xdr:row>
      <xdr:rowOff>83484</xdr:rowOff>
    </xdr:from>
    <xdr:to>
      <xdr:col>5</xdr:col>
      <xdr:colOff>98612</xdr:colOff>
      <xdr:row>243</xdr:row>
      <xdr:rowOff>189380</xdr:rowOff>
    </xdr:to>
    <xdr:cxnSp macro="">
      <xdr:nvCxnSpPr>
        <xdr:cNvPr id="171" name="Conector recto de flecha 17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CxnSpPr/>
      </xdr:nvCxnSpPr>
      <xdr:spPr>
        <a:xfrm>
          <a:off x="1075535" y="44753292"/>
          <a:ext cx="0" cy="295175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80683</xdr:colOff>
      <xdr:row>241</xdr:row>
      <xdr:rowOff>188819</xdr:rowOff>
    </xdr:from>
    <xdr:to>
      <xdr:col>11</xdr:col>
      <xdr:colOff>80683</xdr:colOff>
      <xdr:row>243</xdr:row>
      <xdr:rowOff>104215</xdr:rowOff>
    </xdr:to>
    <xdr:cxnSp macro="">
      <xdr:nvCxnSpPr>
        <xdr:cNvPr id="172" name="Conector recto de flecha 171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CxnSpPr/>
      </xdr:nvCxnSpPr>
      <xdr:spPr>
        <a:xfrm>
          <a:off x="862221" y="45615742"/>
          <a:ext cx="0" cy="293954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6163</xdr:colOff>
      <xdr:row>240</xdr:row>
      <xdr:rowOff>133350</xdr:rowOff>
    </xdr:from>
    <xdr:ext cx="252890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3" name="CuadroTexto 172">
              <a:extLst>
                <a:ext uri="{FF2B5EF4-FFF2-40B4-BE49-F238E27FC236}">
                  <a16:creationId xmlns:a16="http://schemas.microsoft.com/office/drawing/2014/main" id="{00000000-0008-0000-0400-0000AD000000}"/>
                </a:ext>
              </a:extLst>
            </xdr:cNvPr>
            <xdr:cNvSpPr txBox="1"/>
          </xdr:nvSpPr>
          <xdr:spPr>
            <a:xfrm>
              <a:off x="2204240" y="46128110"/>
              <a:ext cx="252890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𝑨𝑰𝑽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173" name="CuadroTexto 172">
              <a:extLst>
                <a:ext uri="{FF2B5EF4-FFF2-40B4-BE49-F238E27FC236}">
                  <a16:creationId xmlns:a16="http://schemas.microsoft.com/office/drawing/2014/main" id="{0717EC60-FE65-40DF-8399-A75CDCA7A16C}"/>
                </a:ext>
              </a:extLst>
            </xdr:cNvPr>
            <xdr:cNvSpPr txBox="1"/>
          </xdr:nvSpPr>
          <xdr:spPr>
            <a:xfrm>
              <a:off x="2204240" y="46128110"/>
              <a:ext cx="252890" cy="156518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𝑨𝑰𝑽</a:t>
              </a:r>
              <a:endParaRPr lang="es-MX" sz="1000" b="1"/>
            </a:p>
          </xdr:txBody>
        </xdr:sp>
      </mc:Fallback>
    </mc:AlternateContent>
    <xdr:clientData/>
  </xdr:oneCellAnchor>
  <xdr:twoCellAnchor>
    <xdr:from>
      <xdr:col>15</xdr:col>
      <xdr:colOff>6106</xdr:colOff>
      <xdr:row>240</xdr:row>
      <xdr:rowOff>24424</xdr:rowOff>
    </xdr:from>
    <xdr:to>
      <xdr:col>15</xdr:col>
      <xdr:colOff>8348</xdr:colOff>
      <xdr:row>244</xdr:row>
      <xdr:rowOff>184005</xdr:rowOff>
    </xdr:to>
    <xdr:cxnSp macro="">
      <xdr:nvCxnSpPr>
        <xdr:cNvPr id="174" name="Conector recto de flecha 17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CxnSpPr/>
      </xdr:nvCxnSpPr>
      <xdr:spPr>
        <a:xfrm>
          <a:off x="3132260" y="46019184"/>
          <a:ext cx="2242" cy="916696"/>
        </a:xfrm>
        <a:prstGeom prst="straightConnector1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11</xdr:row>
      <xdr:rowOff>3397</xdr:rowOff>
    </xdr:from>
    <xdr:to>
      <xdr:col>14</xdr:col>
      <xdr:colOff>179488</xdr:colOff>
      <xdr:row>28</xdr:row>
      <xdr:rowOff>1490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716" t="30625" r="31997" b="11859"/>
        <a:stretch/>
      </xdr:blipFill>
      <xdr:spPr>
        <a:xfrm>
          <a:off x="0" y="3051397"/>
          <a:ext cx="3129063" cy="3236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5"/>
  <sheetViews>
    <sheetView workbookViewId="0">
      <selection activeCell="J46" sqref="J46"/>
    </sheetView>
  </sheetViews>
  <sheetFormatPr baseColWidth="10" defaultRowHeight="15" x14ac:dyDescent="0.25"/>
  <cols>
    <col min="2" max="4" width="5.7109375" customWidth="1"/>
    <col min="5" max="6" width="7.7109375" customWidth="1"/>
    <col min="8" max="8" width="4.42578125" customWidth="1"/>
    <col min="9" max="10" width="5.28515625" customWidth="1"/>
    <col min="12" max="14" width="6.42578125" customWidth="1"/>
  </cols>
  <sheetData>
    <row r="2" spans="2:14" x14ac:dyDescent="0.25">
      <c r="B2" s="1" t="s">
        <v>6</v>
      </c>
      <c r="C2" s="1"/>
      <c r="D2" s="1"/>
      <c r="E2" s="124" t="s">
        <v>6</v>
      </c>
      <c r="F2" s="124"/>
      <c r="G2" s="1"/>
      <c r="H2" s="11" t="s">
        <v>7</v>
      </c>
      <c r="I2" s="1"/>
      <c r="J2" s="1"/>
      <c r="K2" s="1"/>
      <c r="L2" s="124" t="s">
        <v>7</v>
      </c>
      <c r="M2" s="124"/>
      <c r="N2" s="124"/>
    </row>
    <row r="3" spans="2:14" x14ac:dyDescent="0.25">
      <c r="B3" s="3" t="s">
        <v>8</v>
      </c>
      <c r="C3" s="3" t="s">
        <v>9</v>
      </c>
      <c r="D3" s="1"/>
      <c r="E3" s="89" t="s">
        <v>8</v>
      </c>
      <c r="F3" s="89" t="s">
        <v>9</v>
      </c>
      <c r="G3" s="1"/>
      <c r="H3" s="4" t="s">
        <v>10</v>
      </c>
      <c r="I3" s="4" t="s">
        <v>8</v>
      </c>
      <c r="J3" s="4" t="s">
        <v>9</v>
      </c>
      <c r="K3" s="1"/>
      <c r="L3" s="89" t="s">
        <v>10</v>
      </c>
      <c r="M3" s="89" t="s">
        <v>8</v>
      </c>
      <c r="N3" s="89" t="s">
        <v>9</v>
      </c>
    </row>
    <row r="4" spans="2:14" x14ac:dyDescent="0.25">
      <c r="B4" s="5" t="e">
        <f>#REF!</f>
        <v>#REF!</v>
      </c>
      <c r="C4" s="5">
        <v>0</v>
      </c>
      <c r="D4" s="1"/>
      <c r="E4" s="91">
        <f>gaviones!H95</f>
        <v>1.8328924162257494</v>
      </c>
      <c r="F4" s="91">
        <v>0</v>
      </c>
      <c r="G4" s="1"/>
      <c r="H4" s="6">
        <v>1</v>
      </c>
      <c r="I4" s="5">
        <v>0</v>
      </c>
      <c r="J4" s="5">
        <v>0</v>
      </c>
      <c r="K4" s="1"/>
      <c r="L4" s="90">
        <v>1</v>
      </c>
      <c r="M4" s="91">
        <v>0</v>
      </c>
      <c r="N4" s="91">
        <v>0</v>
      </c>
    </row>
    <row r="5" spans="2:14" x14ac:dyDescent="0.25">
      <c r="B5" s="1"/>
      <c r="C5" s="1"/>
      <c r="D5" s="1"/>
      <c r="E5" s="10"/>
      <c r="F5" s="10"/>
      <c r="G5" s="1"/>
      <c r="H5" s="6">
        <v>2</v>
      </c>
      <c r="I5" s="5">
        <v>0</v>
      </c>
      <c r="J5" s="5" t="e">
        <f>#REF!</f>
        <v>#REF!</v>
      </c>
      <c r="K5" s="1"/>
      <c r="L5" s="90">
        <v>2</v>
      </c>
      <c r="M5" s="91">
        <v>0</v>
      </c>
      <c r="N5" s="91">
        <v>5</v>
      </c>
    </row>
    <row r="6" spans="2:14" x14ac:dyDescent="0.25">
      <c r="B6" s="1" t="s">
        <v>11</v>
      </c>
      <c r="C6" s="1"/>
      <c r="D6" s="1"/>
      <c r="E6" s="124" t="s">
        <v>11</v>
      </c>
      <c r="F6" s="124"/>
      <c r="G6" s="1"/>
      <c r="H6" s="6">
        <v>3</v>
      </c>
      <c r="I6" s="5" t="e">
        <f>#REF!</f>
        <v>#REF!</v>
      </c>
      <c r="J6" s="5" t="e">
        <f>J5</f>
        <v>#REF!</v>
      </c>
      <c r="K6" s="1"/>
      <c r="L6" s="90">
        <v>3</v>
      </c>
      <c r="M6" s="91" t="e">
        <f>#REF!</f>
        <v>#REF!</v>
      </c>
      <c r="N6" s="91">
        <f>N5</f>
        <v>5</v>
      </c>
    </row>
    <row r="7" spans="2:14" x14ac:dyDescent="0.25">
      <c r="B7" s="3" t="s">
        <v>8</v>
      </c>
      <c r="C7" s="3" t="s">
        <v>9</v>
      </c>
      <c r="D7" s="1"/>
      <c r="E7" s="89" t="s">
        <v>8</v>
      </c>
      <c r="F7" s="89" t="s">
        <v>9</v>
      </c>
      <c r="G7" s="1"/>
      <c r="H7" s="6">
        <v>4</v>
      </c>
      <c r="I7" s="7" t="e">
        <f>I6</f>
        <v>#REF!</v>
      </c>
      <c r="J7" s="5" t="e">
        <f>#REF!+#REF!</f>
        <v>#REF!</v>
      </c>
      <c r="K7" s="1"/>
      <c r="L7" s="90">
        <v>4</v>
      </c>
      <c r="M7" s="92">
        <v>1</v>
      </c>
      <c r="N7" s="91">
        <v>4</v>
      </c>
    </row>
    <row r="8" spans="2:14" x14ac:dyDescent="0.25">
      <c r="B8" s="5" t="e">
        <f>#REF!/2</f>
        <v>#REF!</v>
      </c>
      <c r="C8" s="5">
        <v>0</v>
      </c>
      <c r="D8" s="1"/>
      <c r="E8" s="91">
        <f>gaviones!B/2</f>
        <v>1.75</v>
      </c>
      <c r="F8" s="91">
        <v>0</v>
      </c>
      <c r="G8" s="1"/>
      <c r="H8" s="6">
        <v>5</v>
      </c>
      <c r="I8" s="7" t="e">
        <f>#REF!+#REF!</f>
        <v>#REF!</v>
      </c>
      <c r="J8" s="5" t="e">
        <f>J7</f>
        <v>#REF!</v>
      </c>
      <c r="K8" s="1"/>
      <c r="L8" s="90">
        <v>5</v>
      </c>
      <c r="M8" s="92">
        <v>1.5</v>
      </c>
      <c r="N8" s="91">
        <v>4</v>
      </c>
    </row>
    <row r="9" spans="2:14" x14ac:dyDescent="0.25">
      <c r="B9" s="1"/>
      <c r="C9" s="1"/>
      <c r="D9" s="1"/>
      <c r="E9" s="1"/>
      <c r="F9" s="1"/>
      <c r="G9" s="1"/>
      <c r="H9" s="6">
        <v>6</v>
      </c>
      <c r="I9" s="7" t="e">
        <f>I8</f>
        <v>#REF!</v>
      </c>
      <c r="J9" s="5" t="e">
        <f>#REF!+#REF!+#REF!</f>
        <v>#REF!</v>
      </c>
      <c r="K9" s="1"/>
      <c r="L9" s="90">
        <v>6</v>
      </c>
      <c r="M9" s="92">
        <f>M8</f>
        <v>1.5</v>
      </c>
      <c r="N9" s="91">
        <v>3</v>
      </c>
    </row>
    <row r="10" spans="2:14" x14ac:dyDescent="0.25">
      <c r="B10" s="1" t="s">
        <v>12</v>
      </c>
      <c r="C10" s="1"/>
      <c r="D10" s="1"/>
      <c r="E10" s="1"/>
      <c r="F10" s="1">
        <f>DEGREES(ATAN((1209-1194)/36))</f>
        <v>22.61986494804043</v>
      </c>
      <c r="G10" s="1"/>
      <c r="H10" s="6">
        <v>7</v>
      </c>
      <c r="I10" s="5" t="e">
        <f>B</f>
        <v>#REF!</v>
      </c>
      <c r="J10" s="5" t="e">
        <f>J9</f>
        <v>#REF!</v>
      </c>
      <c r="K10" s="1"/>
      <c r="L10" s="90">
        <v>7</v>
      </c>
      <c r="M10" s="91">
        <v>2</v>
      </c>
      <c r="N10" s="91">
        <v>3</v>
      </c>
    </row>
    <row r="11" spans="2:14" x14ac:dyDescent="0.25">
      <c r="B11" s="4" t="s">
        <v>10</v>
      </c>
      <c r="C11" s="4" t="s">
        <v>8</v>
      </c>
      <c r="D11" s="4" t="s">
        <v>9</v>
      </c>
      <c r="E11" s="1"/>
      <c r="F11" s="1"/>
      <c r="G11" s="1"/>
      <c r="H11" s="6">
        <v>8</v>
      </c>
      <c r="I11" s="5" t="e">
        <f>I10</f>
        <v>#REF!</v>
      </c>
      <c r="J11" s="5">
        <v>0</v>
      </c>
      <c r="K11" s="1"/>
      <c r="L11" s="90">
        <v>8</v>
      </c>
      <c r="M11" s="91">
        <f>M10</f>
        <v>2</v>
      </c>
      <c r="N11" s="91">
        <v>2</v>
      </c>
    </row>
    <row r="12" spans="2:14" x14ac:dyDescent="0.25">
      <c r="B12" s="2">
        <v>1</v>
      </c>
      <c r="C12" s="7">
        <v>0</v>
      </c>
      <c r="D12" s="7">
        <v>-0.1</v>
      </c>
      <c r="E12" s="1"/>
      <c r="F12" s="1"/>
      <c r="G12" s="1"/>
      <c r="H12" s="8">
        <v>9</v>
      </c>
      <c r="I12" s="9">
        <v>0</v>
      </c>
      <c r="J12" s="9">
        <v>0</v>
      </c>
      <c r="K12" s="1"/>
      <c r="L12" s="90">
        <v>9</v>
      </c>
      <c r="M12" s="91">
        <v>2.5</v>
      </c>
      <c r="N12" s="91">
        <v>2</v>
      </c>
    </row>
    <row r="13" spans="2:14" x14ac:dyDescent="0.25">
      <c r="B13" s="2">
        <v>2</v>
      </c>
      <c r="C13" s="7" t="e">
        <f>#REF!</f>
        <v>#REF!</v>
      </c>
      <c r="D13" s="7">
        <f>D12</f>
        <v>-0.1</v>
      </c>
      <c r="E13" s="1"/>
      <c r="F13" s="1"/>
      <c r="G13" s="1"/>
      <c r="H13" s="1"/>
      <c r="I13" s="1"/>
      <c r="J13" s="1"/>
      <c r="K13" s="1"/>
      <c r="L13" s="90">
        <v>10</v>
      </c>
      <c r="M13" s="91">
        <v>2.5</v>
      </c>
      <c r="N13" s="91">
        <v>1</v>
      </c>
    </row>
    <row r="14" spans="2:14" x14ac:dyDescent="0.25">
      <c r="B14" s="2">
        <v>3</v>
      </c>
      <c r="C14" s="7" t="e">
        <f>C13</f>
        <v>#REF!</v>
      </c>
      <c r="D14" s="7" t="e">
        <f>D12-#REF!</f>
        <v>#REF!</v>
      </c>
      <c r="E14" s="1"/>
      <c r="F14" s="1"/>
      <c r="G14" s="1"/>
      <c r="H14" s="10" t="s">
        <v>13</v>
      </c>
      <c r="I14" s="1"/>
      <c r="J14" s="1"/>
      <c r="K14" s="1"/>
      <c r="L14" s="90">
        <v>11</v>
      </c>
      <c r="M14" s="91">
        <v>3.5</v>
      </c>
      <c r="N14" s="91">
        <v>1</v>
      </c>
    </row>
    <row r="15" spans="2:14" x14ac:dyDescent="0.25">
      <c r="B15" s="2">
        <v>4</v>
      </c>
      <c r="C15" s="7">
        <v>0</v>
      </c>
      <c r="D15" s="7" t="e">
        <f>D12-#REF!</f>
        <v>#REF!</v>
      </c>
      <c r="E15" s="1"/>
      <c r="F15" s="1"/>
      <c r="G15" s="1"/>
      <c r="H15" s="3" t="s">
        <v>8</v>
      </c>
      <c r="I15" s="3" t="s">
        <v>9</v>
      </c>
      <c r="J15" s="1"/>
      <c r="K15" s="1"/>
      <c r="L15" s="90">
        <v>12</v>
      </c>
      <c r="M15" s="91">
        <v>3.5</v>
      </c>
      <c r="N15" s="91">
        <v>0</v>
      </c>
    </row>
    <row r="16" spans="2:14" x14ac:dyDescent="0.25">
      <c r="B16" s="2">
        <v>5</v>
      </c>
      <c r="C16" s="7">
        <v>0</v>
      </c>
      <c r="D16" s="7">
        <f>D12</f>
        <v>-0.1</v>
      </c>
      <c r="E16" s="1"/>
      <c r="F16" s="1"/>
      <c r="G16" s="1"/>
      <c r="H16" s="5" t="e">
        <f>#REF!/3</f>
        <v>#REF!</v>
      </c>
      <c r="I16" s="5">
        <v>0</v>
      </c>
      <c r="J16" s="1"/>
      <c r="K16" s="1"/>
      <c r="L16" s="90">
        <v>13</v>
      </c>
      <c r="M16" s="91">
        <v>0</v>
      </c>
      <c r="N16" s="91">
        <v>0</v>
      </c>
    </row>
    <row r="17" spans="2:12" x14ac:dyDescent="0.25">
      <c r="B17" s="1"/>
      <c r="C17" s="1"/>
      <c r="D17" s="1"/>
      <c r="E17" s="1"/>
      <c r="F17" s="1"/>
      <c r="G17" s="1"/>
      <c r="H17" s="5" t="e">
        <f>2*H16</f>
        <v>#REF!</v>
      </c>
      <c r="I17" s="5">
        <v>0</v>
      </c>
      <c r="J17" s="1"/>
      <c r="K17" s="1"/>
      <c r="L17" s="1"/>
    </row>
    <row r="19" spans="2:12" x14ac:dyDescent="0.25">
      <c r="B19" s="124" t="s">
        <v>12</v>
      </c>
      <c r="C19" s="124"/>
      <c r="D19" s="124"/>
      <c r="H19" s="124" t="s">
        <v>13</v>
      </c>
      <c r="I19" s="124"/>
    </row>
    <row r="20" spans="2:12" x14ac:dyDescent="0.25">
      <c r="B20" s="89" t="s">
        <v>10</v>
      </c>
      <c r="C20" s="89" t="s">
        <v>8</v>
      </c>
      <c r="D20" s="89" t="s">
        <v>9</v>
      </c>
      <c r="H20" s="89" t="s">
        <v>8</v>
      </c>
      <c r="I20" s="89" t="s">
        <v>9</v>
      </c>
    </row>
    <row r="21" spans="2:12" x14ac:dyDescent="0.25">
      <c r="B21" s="90">
        <v>1</v>
      </c>
      <c r="C21" s="92">
        <v>0</v>
      </c>
      <c r="D21" s="92">
        <v>-0.1</v>
      </c>
      <c r="H21" s="91">
        <f>gaviones!B/3</f>
        <v>1.1666666666666667</v>
      </c>
      <c r="I21" s="91">
        <v>0</v>
      </c>
    </row>
    <row r="22" spans="2:12" x14ac:dyDescent="0.25">
      <c r="B22" s="90">
        <v>2</v>
      </c>
      <c r="C22" s="92">
        <f>gaviones!B</f>
        <v>3.5</v>
      </c>
      <c r="D22" s="92">
        <f>D21</f>
        <v>-0.1</v>
      </c>
      <c r="H22" s="91">
        <f>2*H21</f>
        <v>2.3333333333333335</v>
      </c>
      <c r="I22" s="91">
        <v>0</v>
      </c>
    </row>
    <row r="23" spans="2:12" x14ac:dyDescent="0.25">
      <c r="B23" s="90">
        <v>3</v>
      </c>
      <c r="C23" s="92">
        <f>C22</f>
        <v>3.5</v>
      </c>
      <c r="D23" s="92">
        <f>D21-gaviones!H110</f>
        <v>-1.0251020408163265</v>
      </c>
    </row>
    <row r="24" spans="2:12" x14ac:dyDescent="0.25">
      <c r="B24" s="90">
        <v>4</v>
      </c>
      <c r="C24" s="92">
        <v>0</v>
      </c>
      <c r="D24" s="92">
        <f>D21-gaviones!H108</f>
        <v>-0.79489795918367367</v>
      </c>
    </row>
    <row r="25" spans="2:12" x14ac:dyDescent="0.25">
      <c r="B25" s="90">
        <v>5</v>
      </c>
      <c r="C25" s="92">
        <v>0</v>
      </c>
      <c r="D25" s="92">
        <f>D21</f>
        <v>-0.1</v>
      </c>
    </row>
  </sheetData>
  <mergeCells count="5">
    <mergeCell ref="L2:N2"/>
    <mergeCell ref="E2:F2"/>
    <mergeCell ref="E6:F6"/>
    <mergeCell ref="B19:D19"/>
    <mergeCell ref="H19:I19"/>
  </mergeCells>
  <pageMargins left="0.7" right="0.7" top="0.75" bottom="0.75" header="0.3" footer="0.3"/>
  <pageSetup orientation="portrait" r:id="rId1"/>
  <ignoredErrors>
    <ignoredError sqref="I7:J9 J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1E411-5A95-4DCB-8C69-0D6E769F5201}">
  <dimension ref="A1:BC258"/>
  <sheetViews>
    <sheetView tabSelected="1" showRuler="0" view="pageBreakPreview" zoomScaleNormal="100" zoomScaleSheetLayoutView="100" workbookViewId="0">
      <selection activeCell="AZ17" sqref="AZ17"/>
    </sheetView>
  </sheetViews>
  <sheetFormatPr baseColWidth="10" defaultColWidth="2.7109375" defaultRowHeight="15" customHeight="1" x14ac:dyDescent="0.25"/>
  <cols>
    <col min="1" max="8" width="2.7109375" style="12"/>
    <col min="9" max="9" width="3.42578125" style="12" customWidth="1"/>
    <col min="10" max="11" width="2.7109375" style="12" customWidth="1"/>
    <col min="12" max="12" width="3.5703125" style="12" customWidth="1"/>
    <col min="13" max="13" width="3.7109375" style="12" customWidth="1"/>
    <col min="14" max="14" width="3.28515625" style="12" customWidth="1"/>
    <col min="15" max="15" width="2.7109375" style="12" customWidth="1"/>
    <col min="16" max="17" width="2.7109375" style="12"/>
    <col min="18" max="18" width="2.7109375" style="12" customWidth="1"/>
    <col min="19" max="19" width="3.28515625" style="12" customWidth="1"/>
    <col min="20" max="20" width="2.85546875" style="12" customWidth="1"/>
    <col min="21" max="21" width="3.28515625" style="12" customWidth="1"/>
    <col min="22" max="22" width="2.7109375" style="12"/>
    <col min="23" max="24" width="2.7109375" style="12" customWidth="1"/>
    <col min="25" max="25" width="2.7109375" style="12"/>
    <col min="26" max="26" width="3.28515625" style="12" customWidth="1"/>
    <col min="27" max="27" width="2.7109375" style="12" customWidth="1"/>
    <col min="28" max="28" width="3.28515625" style="12" customWidth="1"/>
    <col min="29" max="29" width="2.7109375" style="12"/>
    <col min="30" max="30" width="3.140625" style="12" customWidth="1"/>
    <col min="31" max="34" width="2.7109375" style="12"/>
    <col min="35" max="35" width="3" style="12" customWidth="1"/>
    <col min="36" max="36" width="2.7109375" style="12"/>
    <col min="37" max="37" width="3.28515625" style="12" bestFit="1" customWidth="1"/>
    <col min="38" max="41" width="3.28515625" style="12" customWidth="1"/>
    <col min="42" max="42" width="2.7109375" style="12"/>
    <col min="43" max="43" width="3.42578125" style="12" customWidth="1"/>
    <col min="44" max="50" width="2.7109375" style="12"/>
    <col min="51" max="51" width="2.7109375" style="12" customWidth="1"/>
    <col min="52" max="54" width="2.7109375" style="12"/>
    <col min="55" max="55" width="2.7109375" style="12" customWidth="1"/>
    <col min="56" max="16384" width="2.7109375" style="12"/>
  </cols>
  <sheetData>
    <row r="1" spans="1:46" ht="15" customHeight="1" x14ac:dyDescent="0.25">
      <c r="A1" s="231" t="s">
        <v>107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3"/>
    </row>
    <row r="2" spans="1:46" ht="15" customHeight="1" thickBot="1" x14ac:dyDescent="0.3">
      <c r="A2" s="234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6"/>
    </row>
    <row r="3" spans="1:46" ht="15" customHeight="1" x14ac:dyDescent="0.25">
      <c r="A3" s="94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13"/>
      <c r="AD3" s="13"/>
      <c r="AE3" s="14"/>
    </row>
    <row r="4" spans="1:46" ht="15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4"/>
    </row>
    <row r="5" spans="1:46" ht="15" customHeight="1" x14ac:dyDescent="0.25">
      <c r="A5" s="98" t="s">
        <v>0</v>
      </c>
      <c r="B5" s="99" t="s">
        <v>1</v>
      </c>
      <c r="C5" s="96"/>
      <c r="D5" s="99"/>
      <c r="E5" s="99"/>
      <c r="F5" s="99"/>
      <c r="G5" s="99"/>
      <c r="H5" s="99"/>
      <c r="I5" s="99"/>
      <c r="J5" s="99"/>
      <c r="K5" s="99" t="s">
        <v>2</v>
      </c>
      <c r="L5" s="213" t="s">
        <v>53</v>
      </c>
      <c r="M5" s="213"/>
      <c r="N5" s="214">
        <v>1.8</v>
      </c>
      <c r="O5" s="214"/>
      <c r="P5" s="214"/>
      <c r="Q5" s="215"/>
      <c r="R5" s="14"/>
      <c r="AH5" s="14"/>
      <c r="AI5" s="67">
        <v>1.8</v>
      </c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1:46" ht="15" customHeight="1" x14ac:dyDescent="0.25">
      <c r="A6" s="100" t="s">
        <v>0</v>
      </c>
      <c r="B6" s="14" t="s">
        <v>29</v>
      </c>
      <c r="D6" s="14"/>
      <c r="E6" s="14"/>
      <c r="F6" s="14"/>
      <c r="G6" s="14"/>
      <c r="H6" s="14"/>
      <c r="I6" s="14"/>
      <c r="J6" s="14"/>
      <c r="K6" s="14" t="s">
        <v>2</v>
      </c>
      <c r="L6" s="207" t="s">
        <v>54</v>
      </c>
      <c r="M6" s="207"/>
      <c r="N6" s="216">
        <v>2.7</v>
      </c>
      <c r="O6" s="216"/>
      <c r="P6" s="216"/>
      <c r="Q6" s="217"/>
      <c r="R6" s="14"/>
      <c r="AH6" s="53"/>
      <c r="AI6" s="67">
        <v>2.7</v>
      </c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15" customHeight="1" x14ac:dyDescent="0.25">
      <c r="A7" s="100" t="s">
        <v>0</v>
      </c>
      <c r="B7" s="14" t="s">
        <v>3</v>
      </c>
      <c r="D7" s="14"/>
      <c r="E7" s="14"/>
      <c r="F7" s="14"/>
      <c r="G7" s="14"/>
      <c r="H7" s="14"/>
      <c r="I7" s="14"/>
      <c r="J7" s="14"/>
      <c r="K7" s="14" t="s">
        <v>2</v>
      </c>
      <c r="L7" s="207" t="s">
        <v>4</v>
      </c>
      <c r="M7" s="207"/>
      <c r="N7" s="208">
        <v>30</v>
      </c>
      <c r="O7" s="208"/>
      <c r="P7" s="208"/>
      <c r="Q7" s="209"/>
      <c r="R7" s="14"/>
      <c r="AH7" s="53"/>
      <c r="AI7" s="14">
        <v>30</v>
      </c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spans="1:46" ht="15" customHeight="1" x14ac:dyDescent="0.25">
      <c r="A8" s="100" t="s">
        <v>0</v>
      </c>
      <c r="B8" s="14" t="s">
        <v>30</v>
      </c>
      <c r="D8" s="14"/>
      <c r="E8" s="14"/>
      <c r="F8" s="14"/>
      <c r="G8" s="14"/>
      <c r="H8" s="14"/>
      <c r="I8" s="14"/>
      <c r="J8" s="14"/>
      <c r="K8" s="14" t="s">
        <v>2</v>
      </c>
      <c r="L8" s="207" t="s">
        <v>38</v>
      </c>
      <c r="M8" s="207"/>
      <c r="N8" s="208">
        <v>0</v>
      </c>
      <c r="O8" s="208"/>
      <c r="P8" s="208"/>
      <c r="Q8" s="209"/>
      <c r="R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spans="1:46" ht="15" customHeight="1" thickBot="1" x14ac:dyDescent="0.3">
      <c r="A9" s="101" t="s">
        <v>0</v>
      </c>
      <c r="B9" s="102" t="s">
        <v>5</v>
      </c>
      <c r="C9" s="97"/>
      <c r="D9" s="102"/>
      <c r="E9" s="102"/>
      <c r="F9" s="102"/>
      <c r="G9" s="102"/>
      <c r="H9" s="102"/>
      <c r="I9" s="102"/>
      <c r="J9" s="102"/>
      <c r="K9" s="102" t="s">
        <v>2</v>
      </c>
      <c r="L9" s="210" t="s">
        <v>55</v>
      </c>
      <c r="M9" s="210"/>
      <c r="N9" s="211">
        <v>0.7</v>
      </c>
      <c r="O9" s="211"/>
      <c r="P9" s="211"/>
      <c r="Q9" s="212"/>
      <c r="R9" s="14"/>
      <c r="AH9" s="53"/>
      <c r="AI9" t="s">
        <v>82</v>
      </c>
      <c r="AJ9" s="14"/>
      <c r="AK9" s="14"/>
      <c r="AL9" s="14"/>
      <c r="AM9" s="14" t="s">
        <v>83</v>
      </c>
      <c r="AN9" s="14"/>
      <c r="AO9" s="14"/>
      <c r="AP9" s="14"/>
      <c r="AQ9" s="14"/>
      <c r="AR9" s="14" t="s">
        <v>109</v>
      </c>
      <c r="AS9" s="14"/>
      <c r="AT9" s="14"/>
    </row>
    <row r="10" spans="1:46" ht="15" customHeight="1" x14ac:dyDescent="0.25">
      <c r="A10" s="57"/>
      <c r="L10" s="39"/>
      <c r="M10" s="39"/>
      <c r="N10" s="17"/>
      <c r="O10" s="17"/>
      <c r="P10" s="17"/>
      <c r="Q10" s="17"/>
    </row>
    <row r="11" spans="1:46" ht="15" customHeight="1" thickBot="1" x14ac:dyDescent="0.3">
      <c r="A11" s="52" t="s">
        <v>81</v>
      </c>
      <c r="L11" s="39"/>
      <c r="M11" s="39"/>
      <c r="N11" s="17"/>
      <c r="O11" s="17"/>
      <c r="P11" s="17"/>
      <c r="Q11" s="17"/>
    </row>
    <row r="12" spans="1:46" ht="15" customHeight="1" x14ac:dyDescent="0.25">
      <c r="A12" s="114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104"/>
      <c r="M12" s="104"/>
      <c r="N12" s="95"/>
      <c r="O12" s="105"/>
      <c r="P12" s="17"/>
      <c r="Q12" s="17"/>
    </row>
    <row r="13" spans="1:46" ht="15" customHeight="1" x14ac:dyDescent="0.25">
      <c r="A13" s="108"/>
      <c r="B13" s="84"/>
      <c r="C13" s="84"/>
      <c r="D13" s="86"/>
      <c r="E13" s="86"/>
      <c r="F13" s="86"/>
      <c r="G13" s="86"/>
      <c r="H13" s="87"/>
      <c r="I13" s="87"/>
      <c r="J13" s="87"/>
      <c r="K13" s="87"/>
      <c r="L13" s="84"/>
      <c r="M13" s="84"/>
      <c r="N13" s="85"/>
      <c r="O13" s="106"/>
      <c r="P13" s="17"/>
      <c r="Q13" s="17"/>
    </row>
    <row r="14" spans="1:46" ht="15" customHeight="1" x14ac:dyDescent="0.25">
      <c r="A14" s="108"/>
      <c r="B14" s="84"/>
      <c r="C14" s="84"/>
      <c r="D14" s="86"/>
      <c r="E14" s="86"/>
      <c r="F14" s="86"/>
      <c r="G14" s="86"/>
      <c r="H14" s="87"/>
      <c r="I14" s="87"/>
      <c r="J14" s="87"/>
      <c r="K14" s="87"/>
      <c r="L14" s="84"/>
      <c r="M14" s="84"/>
      <c r="N14" s="85"/>
      <c r="O14" s="107"/>
      <c r="P14" s="14"/>
    </row>
    <row r="15" spans="1:46" ht="15" customHeight="1" thickBot="1" x14ac:dyDescent="0.3">
      <c r="A15" s="115"/>
      <c r="B15" s="87"/>
      <c r="C15" s="87"/>
      <c r="D15" s="84"/>
      <c r="E15" s="84"/>
      <c r="F15" s="84"/>
      <c r="G15" s="84"/>
      <c r="H15" s="83"/>
      <c r="I15" s="83"/>
      <c r="J15" s="83"/>
      <c r="K15" s="83"/>
      <c r="L15" s="83"/>
      <c r="M15" s="84"/>
      <c r="N15" s="85"/>
      <c r="O15" s="103"/>
    </row>
    <row r="16" spans="1:46" ht="15" customHeight="1" x14ac:dyDescent="0.25">
      <c r="A16" s="115"/>
      <c r="B16" s="87"/>
      <c r="C16" s="87"/>
      <c r="D16" s="84"/>
      <c r="E16" s="84"/>
      <c r="F16" s="84"/>
      <c r="G16" s="84"/>
      <c r="H16" s="83"/>
      <c r="I16" s="83"/>
      <c r="J16" s="83"/>
      <c r="K16" s="83"/>
      <c r="L16" s="83"/>
      <c r="M16" s="84"/>
      <c r="N16" s="85"/>
      <c r="O16" s="103"/>
      <c r="P16" s="118" t="s">
        <v>31</v>
      </c>
      <c r="Q16" s="96"/>
      <c r="R16" s="95"/>
      <c r="S16" s="96"/>
      <c r="T16" s="96"/>
      <c r="U16" s="96"/>
      <c r="V16" s="96"/>
      <c r="W16" s="96" t="s">
        <v>2</v>
      </c>
      <c r="X16" s="205" t="s">
        <v>76</v>
      </c>
      <c r="Y16" s="205"/>
      <c r="Z16" s="140">
        <v>1</v>
      </c>
      <c r="AA16" s="140"/>
      <c r="AB16" s="206"/>
    </row>
    <row r="17" spans="1:28" ht="15" customHeight="1" x14ac:dyDescent="0.25">
      <c r="A17" s="115"/>
      <c r="B17" s="87"/>
      <c r="C17" s="87"/>
      <c r="D17" s="84"/>
      <c r="E17" s="84"/>
      <c r="F17" s="84"/>
      <c r="G17" s="84"/>
      <c r="H17" s="83"/>
      <c r="I17" s="83"/>
      <c r="J17" s="83"/>
      <c r="K17" s="83"/>
      <c r="L17" s="83"/>
      <c r="M17" s="84"/>
      <c r="N17" s="85"/>
      <c r="O17" s="103"/>
      <c r="P17" s="12" t="s">
        <v>75</v>
      </c>
      <c r="W17" s="12" t="s">
        <v>2</v>
      </c>
      <c r="X17" s="142" t="s">
        <v>77</v>
      </c>
      <c r="Y17" s="142"/>
      <c r="Z17" s="141">
        <v>1</v>
      </c>
      <c r="AA17" s="141"/>
      <c r="AB17" s="201"/>
    </row>
    <row r="18" spans="1:28" ht="15" customHeight="1" x14ac:dyDescent="0.25">
      <c r="A18" s="115"/>
      <c r="B18" s="87"/>
      <c r="C18" s="87"/>
      <c r="D18" s="84"/>
      <c r="E18" s="84"/>
      <c r="F18" s="83"/>
      <c r="G18" s="83"/>
      <c r="H18" s="83"/>
      <c r="I18" s="83"/>
      <c r="J18" s="83"/>
      <c r="K18" s="83"/>
      <c r="L18" s="83"/>
      <c r="M18" s="84"/>
      <c r="N18" s="85"/>
      <c r="O18" s="103"/>
      <c r="P18" s="119" t="s">
        <v>32</v>
      </c>
      <c r="W18" s="12" t="s">
        <v>2</v>
      </c>
      <c r="X18" s="142" t="s">
        <v>40</v>
      </c>
      <c r="Y18" s="142"/>
      <c r="Z18" s="141">
        <v>5</v>
      </c>
      <c r="AA18" s="141"/>
      <c r="AB18" s="201"/>
    </row>
    <row r="19" spans="1:28" ht="15" customHeight="1" x14ac:dyDescent="0.25">
      <c r="A19" s="115"/>
      <c r="B19" s="87"/>
      <c r="C19" s="87"/>
      <c r="D19" s="84"/>
      <c r="E19" s="84"/>
      <c r="F19" s="83"/>
      <c r="G19" s="83"/>
      <c r="H19" s="83"/>
      <c r="I19" s="83"/>
      <c r="J19" s="83"/>
      <c r="K19" s="83"/>
      <c r="L19" s="83"/>
      <c r="M19" s="84"/>
      <c r="N19" s="85"/>
      <c r="O19" s="103"/>
      <c r="AB19" s="103"/>
    </row>
    <row r="20" spans="1:28" ht="15" customHeight="1" x14ac:dyDescent="0.25">
      <c r="A20" s="115"/>
      <c r="B20" s="87"/>
      <c r="C20" s="87"/>
      <c r="D20" s="84"/>
      <c r="E20" s="84"/>
      <c r="F20" s="83"/>
      <c r="G20" s="83"/>
      <c r="H20" s="83"/>
      <c r="I20" s="83"/>
      <c r="J20" s="83"/>
      <c r="K20" s="83"/>
      <c r="L20" s="83"/>
      <c r="M20" s="84"/>
      <c r="N20" s="85"/>
      <c r="O20" s="103"/>
      <c r="P20" s="12" t="s">
        <v>63</v>
      </c>
      <c r="AB20" s="103"/>
    </row>
    <row r="21" spans="1:28" ht="15" customHeight="1" x14ac:dyDescent="0.25">
      <c r="A21" s="115"/>
      <c r="B21" s="87"/>
      <c r="C21" s="87"/>
      <c r="D21" s="84"/>
      <c r="E21" s="84"/>
      <c r="F21" s="83"/>
      <c r="G21" s="83"/>
      <c r="H21" s="83"/>
      <c r="I21" s="83"/>
      <c r="J21" s="83"/>
      <c r="K21" s="83"/>
      <c r="L21" s="83"/>
      <c r="M21" s="84"/>
      <c r="N21" s="85"/>
      <c r="O21" s="103"/>
      <c r="AB21" s="103"/>
    </row>
    <row r="22" spans="1:28" ht="15" customHeight="1" x14ac:dyDescent="0.25">
      <c r="A22" s="115"/>
      <c r="B22" s="87"/>
      <c r="C22" s="87"/>
      <c r="D22" s="83"/>
      <c r="E22" s="83"/>
      <c r="F22" s="83"/>
      <c r="G22" s="83"/>
      <c r="H22" s="83"/>
      <c r="I22" s="83"/>
      <c r="J22" s="83"/>
      <c r="K22" s="83"/>
      <c r="L22" s="83"/>
      <c r="M22" s="84"/>
      <c r="N22" s="85"/>
      <c r="O22" s="103"/>
      <c r="P22" s="119" t="s">
        <v>64</v>
      </c>
      <c r="R22" s="17"/>
      <c r="W22" s="12" t="s">
        <v>2</v>
      </c>
      <c r="X22" s="142" t="s">
        <v>39</v>
      </c>
      <c r="Y22" s="142"/>
      <c r="Z22" s="141">
        <f>0.5*(1+Ht)</f>
        <v>3</v>
      </c>
      <c r="AA22" s="141"/>
      <c r="AB22" s="201"/>
    </row>
    <row r="23" spans="1:28" ht="15" customHeight="1" thickBot="1" x14ac:dyDescent="0.3">
      <c r="A23" s="115"/>
      <c r="B23" s="87"/>
      <c r="C23" s="87"/>
      <c r="D23" s="83"/>
      <c r="E23" s="83"/>
      <c r="F23" s="83"/>
      <c r="G23" s="83"/>
      <c r="H23" s="83"/>
      <c r="I23" s="83"/>
      <c r="J23" s="83"/>
      <c r="K23" s="83"/>
      <c r="L23" s="83"/>
      <c r="M23" s="84"/>
      <c r="N23" s="85"/>
      <c r="O23" s="103"/>
      <c r="P23" s="120" t="s">
        <v>78</v>
      </c>
      <c r="Q23" s="97"/>
      <c r="R23" s="121"/>
      <c r="S23" s="97"/>
      <c r="T23" s="97"/>
      <c r="U23" s="97"/>
      <c r="V23" s="97"/>
      <c r="W23" s="97" t="s">
        <v>2</v>
      </c>
      <c r="X23" s="202" t="s">
        <v>65</v>
      </c>
      <c r="Y23" s="202"/>
      <c r="Z23" s="203">
        <v>3.5</v>
      </c>
      <c r="AA23" s="203"/>
      <c r="AB23" s="204"/>
    </row>
    <row r="24" spans="1:28" ht="15" customHeight="1" x14ac:dyDescent="0.25">
      <c r="A24" s="115"/>
      <c r="B24" s="87"/>
      <c r="C24" s="87"/>
      <c r="D24" s="83"/>
      <c r="E24" s="83"/>
      <c r="F24" s="83"/>
      <c r="G24" s="83"/>
      <c r="H24" s="83"/>
      <c r="I24" s="83"/>
      <c r="J24" s="83"/>
      <c r="K24" s="83"/>
      <c r="L24" s="83"/>
      <c r="M24" s="84"/>
      <c r="N24" s="85"/>
      <c r="O24" s="109"/>
    </row>
    <row r="25" spans="1:28" ht="15" customHeight="1" x14ac:dyDescent="0.25">
      <c r="A25" s="115"/>
      <c r="B25" s="87"/>
      <c r="C25" s="87"/>
      <c r="D25" s="83"/>
      <c r="E25" s="83"/>
      <c r="F25" s="83"/>
      <c r="G25" s="83"/>
      <c r="H25" s="83"/>
      <c r="I25" s="83"/>
      <c r="J25" s="83"/>
      <c r="K25" s="83"/>
      <c r="L25" s="83"/>
      <c r="M25" s="84"/>
      <c r="N25" s="85"/>
      <c r="O25" s="109"/>
    </row>
    <row r="26" spans="1:28" ht="15" customHeight="1" x14ac:dyDescent="0.25">
      <c r="A26" s="116"/>
      <c r="B26" s="85"/>
      <c r="C26" s="85"/>
      <c r="D26" s="88"/>
      <c r="E26" s="88"/>
      <c r="F26" s="88"/>
      <c r="G26" s="88"/>
      <c r="H26" s="88"/>
      <c r="I26" s="88"/>
      <c r="J26" s="88"/>
      <c r="K26" s="88"/>
      <c r="L26" s="85"/>
      <c r="M26" s="85"/>
      <c r="N26" s="85"/>
      <c r="O26" s="109"/>
    </row>
    <row r="27" spans="1:28" ht="15" customHeight="1" x14ac:dyDescent="0.25">
      <c r="A27" s="116"/>
      <c r="B27" s="85"/>
      <c r="C27" s="85"/>
      <c r="D27" s="88"/>
      <c r="E27" s="88"/>
      <c r="F27" s="88"/>
      <c r="G27" s="88"/>
      <c r="H27" s="88"/>
      <c r="I27" s="88"/>
      <c r="J27" s="88"/>
      <c r="K27" s="88"/>
      <c r="L27" s="85"/>
      <c r="M27" s="85"/>
      <c r="N27" s="85"/>
      <c r="O27" s="109"/>
    </row>
    <row r="28" spans="1:28" ht="15" customHeight="1" thickBot="1" x14ac:dyDescent="0.3">
      <c r="A28" s="117"/>
      <c r="B28" s="97"/>
      <c r="C28" s="110"/>
      <c r="D28" s="110"/>
      <c r="E28" s="110"/>
      <c r="F28" s="110"/>
      <c r="G28" s="110"/>
      <c r="H28" s="110"/>
      <c r="I28" s="110"/>
      <c r="J28" s="110"/>
      <c r="K28" s="110"/>
      <c r="L28" s="111"/>
      <c r="M28" s="111"/>
      <c r="N28" s="112"/>
      <c r="O28" s="113"/>
    </row>
    <row r="29" spans="1:28" ht="15" customHeight="1" x14ac:dyDescent="0.25">
      <c r="A29" s="15" t="s">
        <v>79</v>
      </c>
      <c r="C29" s="56"/>
      <c r="D29" s="56"/>
      <c r="E29" s="56"/>
      <c r="F29" s="56"/>
      <c r="G29" s="56"/>
      <c r="H29" s="56"/>
      <c r="I29" s="56"/>
      <c r="J29" s="56"/>
      <c r="K29" s="56"/>
      <c r="L29" s="39"/>
      <c r="M29" s="39"/>
      <c r="N29" s="17"/>
      <c r="O29" s="17"/>
      <c r="P29" s="17"/>
      <c r="Q29" s="17"/>
    </row>
    <row r="30" spans="1:28" ht="15" customHeight="1" x14ac:dyDescent="0.25">
      <c r="A30" s="57"/>
      <c r="C30" s="18"/>
      <c r="D30" s="18"/>
      <c r="E30" s="18"/>
      <c r="L30" s="39"/>
      <c r="M30" s="39"/>
      <c r="N30" s="17"/>
      <c r="O30" s="17"/>
      <c r="P30" s="17"/>
      <c r="Q30" s="17"/>
    </row>
    <row r="31" spans="1:28" ht="15" customHeight="1" x14ac:dyDescent="0.25">
      <c r="A31" s="16" t="s">
        <v>0</v>
      </c>
      <c r="B31" s="19" t="s">
        <v>41</v>
      </c>
      <c r="C31" s="18"/>
      <c r="D31" s="18"/>
      <c r="E31" s="18"/>
      <c r="L31" s="39"/>
      <c r="M31" s="39"/>
      <c r="N31" s="17"/>
      <c r="O31" s="17"/>
      <c r="P31" s="17"/>
      <c r="Q31" s="17"/>
    </row>
    <row r="32" spans="1:28" ht="15" customHeight="1" x14ac:dyDescent="0.25">
      <c r="A32" s="16"/>
      <c r="B32" s="19"/>
      <c r="C32" s="18"/>
      <c r="D32" s="18"/>
      <c r="E32" s="18"/>
      <c r="L32" s="39"/>
      <c r="M32" s="39"/>
      <c r="N32" s="17"/>
      <c r="O32" s="17"/>
      <c r="P32" s="17"/>
    </row>
    <row r="33" spans="1:55" ht="15" customHeight="1" x14ac:dyDescent="0.25">
      <c r="A33" s="16"/>
      <c r="B33" s="20" t="s">
        <v>33</v>
      </c>
      <c r="D33" s="18"/>
      <c r="E33" s="18"/>
      <c r="L33" s="39"/>
      <c r="M33" s="39"/>
      <c r="N33" s="17"/>
      <c r="O33" s="17"/>
      <c r="P33" s="17"/>
    </row>
    <row r="34" spans="1:55" ht="15" customHeight="1" x14ac:dyDescent="0.25">
      <c r="A34" s="57"/>
      <c r="L34" s="39"/>
      <c r="M34" s="39"/>
      <c r="N34" s="17"/>
      <c r="O34" s="17"/>
      <c r="P34" s="17"/>
      <c r="R34" s="17"/>
    </row>
    <row r="35" spans="1:55" ht="15" customHeight="1" x14ac:dyDescent="0.25">
      <c r="A35" s="57"/>
      <c r="O35" s="18"/>
    </row>
    <row r="36" spans="1:55" ht="15" customHeight="1" x14ac:dyDescent="0.25">
      <c r="A36" s="57"/>
    </row>
    <row r="37" spans="1:55" ht="15" customHeight="1" x14ac:dyDescent="0.25">
      <c r="A37" s="57"/>
    </row>
    <row r="38" spans="1:55" ht="15" customHeight="1" x14ac:dyDescent="0.25">
      <c r="A38" s="57"/>
      <c r="B38" s="131" t="s">
        <v>20</v>
      </c>
      <c r="C38" s="131"/>
      <c r="D38" s="142">
        <f>COS(RADIANS(beta))*((COS(RADIANS(beta))-(SQRT((COS(RADIANS(beta)))^2-(COS(RADIANS(fi)))^2)))/(COS(RADIANS(beta))+(SQRT((COS(RADIANS(beta)))^2-(COS(RADIANS(fi)))^2))))</f>
        <v>0.33333333333333343</v>
      </c>
      <c r="E38" s="142"/>
      <c r="F38" s="142"/>
      <c r="G38" s="142"/>
    </row>
    <row r="39" spans="1:55" ht="15" customHeight="1" x14ac:dyDescent="0.25">
      <c r="A39" s="57"/>
    </row>
    <row r="40" spans="1:55" ht="15" customHeight="1" x14ac:dyDescent="0.25">
      <c r="A40" s="57"/>
      <c r="B40" s="20" t="s">
        <v>35</v>
      </c>
      <c r="L40" s="21"/>
    </row>
    <row r="41" spans="1:55" ht="15" customHeight="1" x14ac:dyDescent="0.25">
      <c r="A41" s="57"/>
    </row>
    <row r="42" spans="1:55" ht="15" customHeight="1" x14ac:dyDescent="0.25">
      <c r="A42" s="57"/>
    </row>
    <row r="43" spans="1:55" ht="15" customHeight="1" x14ac:dyDescent="0.25">
      <c r="A43" s="57"/>
      <c r="F43" s="18"/>
      <c r="G43" s="18"/>
      <c r="H43" s="18"/>
      <c r="L43" s="39"/>
      <c r="M43" s="39"/>
      <c r="N43" s="17"/>
      <c r="O43" s="17"/>
      <c r="P43" s="17"/>
      <c r="Q43" s="17"/>
    </row>
    <row r="44" spans="1:55" ht="15" customHeight="1" x14ac:dyDescent="0.25">
      <c r="A44" s="57"/>
      <c r="C44" s="142" t="s">
        <v>42</v>
      </c>
      <c r="D44" s="142"/>
      <c r="E44" s="194">
        <f>0.5*Ka*Psuelo*(Ht^2)</f>
        <v>7.5000000000000027</v>
      </c>
      <c r="F44" s="194"/>
      <c r="G44" s="194"/>
      <c r="H44" s="194"/>
      <c r="L44" s="39"/>
      <c r="M44" s="39"/>
      <c r="N44" s="17"/>
      <c r="O44" s="17"/>
      <c r="P44" s="17"/>
      <c r="Q44" s="17"/>
    </row>
    <row r="45" spans="1:55" ht="15" customHeight="1" x14ac:dyDescent="0.25">
      <c r="A45" s="57"/>
      <c r="C45" s="39"/>
      <c r="D45" s="39"/>
      <c r="E45" s="58"/>
      <c r="F45" s="58"/>
      <c r="G45" s="58"/>
      <c r="H45" s="58"/>
      <c r="L45" s="39"/>
      <c r="M45" s="39"/>
      <c r="N45" s="17"/>
      <c r="O45" s="17"/>
      <c r="P45" s="17"/>
      <c r="Q45" s="17"/>
      <c r="BC45" s="54"/>
    </row>
    <row r="46" spans="1:55" ht="15" customHeight="1" x14ac:dyDescent="0.25">
      <c r="A46" s="57"/>
      <c r="B46" s="22" t="s">
        <v>34</v>
      </c>
      <c r="J46" s="23"/>
      <c r="L46" s="39"/>
      <c r="M46" s="39"/>
      <c r="N46" s="17"/>
      <c r="O46" s="17"/>
      <c r="P46" s="17"/>
      <c r="Q46" s="17"/>
    </row>
    <row r="47" spans="1:55" ht="15" customHeight="1" x14ac:dyDescent="0.25">
      <c r="A47" s="57"/>
      <c r="L47" s="39"/>
      <c r="M47" s="39"/>
      <c r="N47" s="17"/>
      <c r="O47" s="17"/>
      <c r="P47" s="17"/>
      <c r="Q47" s="17"/>
      <c r="AI47" s="65">
        <v>1</v>
      </c>
      <c r="AK47" s="54">
        <v>0.5</v>
      </c>
      <c r="AM47" s="54">
        <v>0.5</v>
      </c>
      <c r="AO47" s="54">
        <v>0.5</v>
      </c>
      <c r="AR47" s="12">
        <v>1</v>
      </c>
    </row>
    <row r="48" spans="1:55" ht="15" customHeight="1" thickBot="1" x14ac:dyDescent="0.3">
      <c r="A48" s="57"/>
      <c r="F48" s="195">
        <f>Ht/3</f>
        <v>1.6666666666666667</v>
      </c>
      <c r="G48" s="195"/>
      <c r="H48" s="195"/>
      <c r="I48" s="195"/>
      <c r="L48" s="39"/>
      <c r="M48" s="39"/>
      <c r="N48" s="17"/>
      <c r="O48" s="17"/>
      <c r="P48" s="17"/>
      <c r="Q48" s="17"/>
    </row>
    <row r="49" spans="1:49" ht="15" customHeight="1" x14ac:dyDescent="0.25">
      <c r="AG49" s="68"/>
      <c r="AH49" s="69"/>
      <c r="AI49" s="69"/>
      <c r="AJ49" s="70"/>
    </row>
    <row r="50" spans="1:49" ht="15" customHeight="1" x14ac:dyDescent="0.25">
      <c r="A50" s="15" t="s">
        <v>43</v>
      </c>
      <c r="AG50" s="71"/>
      <c r="AH50" s="72"/>
      <c r="AI50" s="72"/>
      <c r="AJ50" s="73"/>
      <c r="AW50" s="12">
        <v>1</v>
      </c>
    </row>
    <row r="51" spans="1:49" ht="15" customHeight="1" x14ac:dyDescent="0.25">
      <c r="A51" s="15"/>
      <c r="AG51" s="71"/>
      <c r="AH51" s="72"/>
      <c r="AI51" s="72"/>
      <c r="AJ51" s="73"/>
    </row>
    <row r="52" spans="1:49" ht="15" customHeight="1" thickBot="1" x14ac:dyDescent="0.3">
      <c r="A52" s="24" t="s">
        <v>0</v>
      </c>
      <c r="B52" s="19" t="s">
        <v>44</v>
      </c>
      <c r="AG52" s="74"/>
      <c r="AH52" s="75"/>
      <c r="AI52" s="75"/>
      <c r="AJ52" s="76"/>
    </row>
    <row r="53" spans="1:49" ht="15" customHeight="1" x14ac:dyDescent="0.25">
      <c r="AG53" s="68"/>
      <c r="AH53" s="69"/>
      <c r="AI53" s="69"/>
      <c r="AJ53" s="69"/>
      <c r="AK53" s="69"/>
      <c r="AL53" s="70"/>
    </row>
    <row r="54" spans="1:49" ht="15" customHeight="1" x14ac:dyDescent="0.25">
      <c r="C54" s="196" t="s">
        <v>14</v>
      </c>
      <c r="D54" s="197"/>
      <c r="E54" s="189" t="s">
        <v>56</v>
      </c>
      <c r="F54" s="189"/>
      <c r="G54" s="189"/>
      <c r="H54" s="189"/>
      <c r="I54" s="200" t="s">
        <v>80</v>
      </c>
      <c r="J54" s="200"/>
      <c r="K54" s="200"/>
      <c r="L54" s="188" t="s">
        <v>15</v>
      </c>
      <c r="M54" s="189"/>
      <c r="N54" s="189"/>
      <c r="O54" s="190"/>
      <c r="P54" s="189" t="s">
        <v>16</v>
      </c>
      <c r="Q54" s="189"/>
      <c r="R54" s="189"/>
      <c r="S54" s="189"/>
      <c r="T54" s="188" t="s">
        <v>17</v>
      </c>
      <c r="U54" s="189"/>
      <c r="V54" s="189"/>
      <c r="W54" s="190"/>
      <c r="X54" s="188" t="s">
        <v>18</v>
      </c>
      <c r="Y54" s="189"/>
      <c r="Z54" s="189"/>
      <c r="AA54" s="190"/>
      <c r="AG54" s="71"/>
      <c r="AH54" s="72"/>
      <c r="AI54" s="72"/>
      <c r="AJ54" s="72"/>
      <c r="AK54" s="72"/>
      <c r="AL54" s="73"/>
      <c r="AR54" s="55"/>
      <c r="AW54" s="12">
        <v>1</v>
      </c>
    </row>
    <row r="55" spans="1:49" ht="15" customHeight="1" x14ac:dyDescent="0.25">
      <c r="C55" s="198"/>
      <c r="D55" s="199"/>
      <c r="E55" s="192"/>
      <c r="F55" s="192"/>
      <c r="G55" s="192"/>
      <c r="H55" s="192"/>
      <c r="I55" s="200"/>
      <c r="J55" s="200"/>
      <c r="K55" s="200"/>
      <c r="L55" s="191"/>
      <c r="M55" s="192"/>
      <c r="N55" s="192"/>
      <c r="O55" s="193"/>
      <c r="P55" s="192"/>
      <c r="Q55" s="192"/>
      <c r="R55" s="192"/>
      <c r="S55" s="192"/>
      <c r="T55" s="191"/>
      <c r="U55" s="192"/>
      <c r="V55" s="192"/>
      <c r="W55" s="193"/>
      <c r="X55" s="191"/>
      <c r="Y55" s="192"/>
      <c r="Z55" s="192"/>
      <c r="AA55" s="193"/>
      <c r="AG55" s="71"/>
      <c r="AH55" s="72"/>
      <c r="AI55" s="72"/>
      <c r="AJ55" s="72"/>
      <c r="AK55" s="72"/>
      <c r="AL55" s="73"/>
    </row>
    <row r="56" spans="1:49" ht="15" customHeight="1" thickBot="1" x14ac:dyDescent="0.3">
      <c r="C56" s="179" t="s">
        <v>86</v>
      </c>
      <c r="D56" s="179"/>
      <c r="E56" s="180" t="s">
        <v>57</v>
      </c>
      <c r="F56" s="181"/>
      <c r="G56" s="181"/>
      <c r="H56" s="181"/>
      <c r="I56" s="182">
        <f>AQ71*AW66</f>
        <v>1.5</v>
      </c>
      <c r="J56" s="182"/>
      <c r="K56" s="182"/>
      <c r="L56" s="183">
        <f t="shared" ref="L56:L64" si="0">Proca</f>
        <v>2.7</v>
      </c>
      <c r="M56" s="183"/>
      <c r="N56" s="183"/>
      <c r="O56" s="183"/>
      <c r="P56" s="184">
        <f t="shared" ref="P56:P64" si="1">I56*L56</f>
        <v>4.0500000000000007</v>
      </c>
      <c r="Q56" s="184"/>
      <c r="R56" s="184"/>
      <c r="S56" s="184"/>
      <c r="T56" s="182">
        <f>0.5*AQ71</f>
        <v>0.75</v>
      </c>
      <c r="U56" s="182"/>
      <c r="V56" s="182"/>
      <c r="W56" s="182"/>
      <c r="X56" s="185">
        <f>P56*T56</f>
        <v>3.0375000000000005</v>
      </c>
      <c r="Y56" s="185"/>
      <c r="Z56" s="185"/>
      <c r="AA56" s="185"/>
      <c r="AG56" s="74"/>
      <c r="AH56" s="75"/>
      <c r="AI56" s="75"/>
      <c r="AJ56" s="75"/>
      <c r="AK56" s="75"/>
      <c r="AL56" s="76"/>
    </row>
    <row r="57" spans="1:49" ht="15" customHeight="1" x14ac:dyDescent="0.25">
      <c r="C57" s="171" t="s">
        <v>87</v>
      </c>
      <c r="D57" s="171"/>
      <c r="E57" s="186" t="s">
        <v>57</v>
      </c>
      <c r="F57" s="187"/>
      <c r="G57" s="187"/>
      <c r="H57" s="187"/>
      <c r="I57" s="175">
        <f>AL71*AW66</f>
        <v>1</v>
      </c>
      <c r="J57" s="175"/>
      <c r="K57" s="175"/>
      <c r="L57" s="176">
        <f t="shared" si="0"/>
        <v>2.7</v>
      </c>
      <c r="M57" s="176"/>
      <c r="N57" s="176"/>
      <c r="O57" s="176"/>
      <c r="P57" s="177">
        <f t="shared" si="1"/>
        <v>2.7</v>
      </c>
      <c r="Q57" s="177"/>
      <c r="R57" s="177"/>
      <c r="S57" s="177"/>
      <c r="T57" s="175">
        <f>AQ71+(0.5*AL71)</f>
        <v>2</v>
      </c>
      <c r="U57" s="175"/>
      <c r="V57" s="175"/>
      <c r="W57" s="175"/>
      <c r="X57" s="178">
        <f t="shared" ref="X57:X64" si="2">P57*T57</f>
        <v>5.4</v>
      </c>
      <c r="Y57" s="178"/>
      <c r="Z57" s="178"/>
      <c r="AA57" s="178"/>
      <c r="AG57" s="68"/>
      <c r="AH57" s="69"/>
      <c r="AI57" s="69"/>
      <c r="AJ57" s="70"/>
      <c r="AK57" s="68"/>
      <c r="AL57" s="69"/>
      <c r="AM57" s="69"/>
      <c r="AN57" s="70"/>
    </row>
    <row r="58" spans="1:49" ht="15" customHeight="1" x14ac:dyDescent="0.25">
      <c r="C58" s="171" t="s">
        <v>88</v>
      </c>
      <c r="D58" s="171"/>
      <c r="E58" s="186" t="s">
        <v>57</v>
      </c>
      <c r="F58" s="187"/>
      <c r="G58" s="187"/>
      <c r="H58" s="187"/>
      <c r="I58" s="175">
        <f>AH71*AW66</f>
        <v>1</v>
      </c>
      <c r="J58" s="175"/>
      <c r="K58" s="175"/>
      <c r="L58" s="176">
        <f t="shared" si="0"/>
        <v>2.7</v>
      </c>
      <c r="M58" s="176"/>
      <c r="N58" s="176"/>
      <c r="O58" s="176"/>
      <c r="P58" s="177">
        <f t="shared" si="1"/>
        <v>2.7</v>
      </c>
      <c r="Q58" s="177"/>
      <c r="R58" s="177"/>
      <c r="S58" s="177"/>
      <c r="T58" s="175">
        <f>AQ71+AL71+(0.5*AH71)</f>
        <v>3</v>
      </c>
      <c r="U58" s="175"/>
      <c r="V58" s="175"/>
      <c r="W58" s="175"/>
      <c r="X58" s="178">
        <f t="shared" si="2"/>
        <v>8.1000000000000014</v>
      </c>
      <c r="Y58" s="178"/>
      <c r="Z58" s="178"/>
      <c r="AA58" s="178"/>
      <c r="AG58" s="71"/>
      <c r="AH58" s="72"/>
      <c r="AI58" s="72"/>
      <c r="AJ58" s="73"/>
      <c r="AK58" s="71"/>
      <c r="AL58" s="72"/>
      <c r="AM58" s="72"/>
      <c r="AN58" s="73"/>
      <c r="AW58" s="12">
        <v>1</v>
      </c>
    </row>
    <row r="59" spans="1:49" ht="15" customHeight="1" x14ac:dyDescent="0.25">
      <c r="C59" s="171" t="s">
        <v>89</v>
      </c>
      <c r="D59" s="171"/>
      <c r="E59" s="186" t="s">
        <v>57</v>
      </c>
      <c r="F59" s="187"/>
      <c r="G59" s="187"/>
      <c r="H59" s="187"/>
      <c r="I59" s="175">
        <f>AW62*(AO47+AM47)</f>
        <v>1</v>
      </c>
      <c r="J59" s="175"/>
      <c r="K59" s="175"/>
      <c r="L59" s="176">
        <f t="shared" si="0"/>
        <v>2.7</v>
      </c>
      <c r="M59" s="176"/>
      <c r="N59" s="176"/>
      <c r="O59" s="176"/>
      <c r="P59" s="177">
        <f t="shared" si="1"/>
        <v>2.7</v>
      </c>
      <c r="Q59" s="177"/>
      <c r="R59" s="177"/>
      <c r="S59" s="177"/>
      <c r="T59" s="175">
        <f>AR47+(0.5*(AO47+AM47))</f>
        <v>1.5</v>
      </c>
      <c r="U59" s="175"/>
      <c r="V59" s="175"/>
      <c r="W59" s="175"/>
      <c r="X59" s="178">
        <f>P59*T59</f>
        <v>4.0500000000000007</v>
      </c>
      <c r="Y59" s="178"/>
      <c r="Z59" s="178"/>
      <c r="AA59" s="178"/>
      <c r="AE59" s="12">
        <v>5</v>
      </c>
      <c r="AG59" s="71"/>
      <c r="AH59" s="72"/>
      <c r="AI59" s="72"/>
      <c r="AJ59" s="73"/>
      <c r="AK59" s="71"/>
      <c r="AL59" s="72"/>
      <c r="AM59" s="72"/>
      <c r="AN59" s="73"/>
    </row>
    <row r="60" spans="1:49" ht="15" customHeight="1" thickBot="1" x14ac:dyDescent="0.3">
      <c r="C60" s="179" t="s">
        <v>85</v>
      </c>
      <c r="D60" s="179"/>
      <c r="E60" s="180" t="s">
        <v>57</v>
      </c>
      <c r="F60" s="181"/>
      <c r="G60" s="181"/>
      <c r="H60" s="181"/>
      <c r="I60" s="182">
        <f>AW62*(AI47+AK47)</f>
        <v>1.5</v>
      </c>
      <c r="J60" s="182"/>
      <c r="K60" s="182"/>
      <c r="L60" s="183">
        <f t="shared" si="0"/>
        <v>2.7</v>
      </c>
      <c r="M60" s="183"/>
      <c r="N60" s="183"/>
      <c r="O60" s="183"/>
      <c r="P60" s="184">
        <f t="shared" si="1"/>
        <v>4.0500000000000007</v>
      </c>
      <c r="Q60" s="184"/>
      <c r="R60" s="184"/>
      <c r="S60" s="184"/>
      <c r="T60" s="182">
        <f>AR47+AO47+AM47+(0.5*(AK47+AI47))</f>
        <v>2.75</v>
      </c>
      <c r="U60" s="182"/>
      <c r="V60" s="182"/>
      <c r="W60" s="182"/>
      <c r="X60" s="185">
        <f t="shared" si="2"/>
        <v>11.137500000000003</v>
      </c>
      <c r="Y60" s="185"/>
      <c r="Z60" s="185"/>
      <c r="AA60" s="185"/>
      <c r="AG60" s="74"/>
      <c r="AH60" s="75"/>
      <c r="AI60" s="75"/>
      <c r="AJ60" s="76"/>
      <c r="AK60" s="74"/>
      <c r="AL60" s="75"/>
      <c r="AM60" s="75"/>
      <c r="AN60" s="76"/>
    </row>
    <row r="61" spans="1:49" ht="15" customHeight="1" x14ac:dyDescent="0.25">
      <c r="C61" s="171" t="s">
        <v>90</v>
      </c>
      <c r="D61" s="171"/>
      <c r="E61" s="186" t="s">
        <v>57</v>
      </c>
      <c r="F61" s="187"/>
      <c r="G61" s="187"/>
      <c r="H61" s="187"/>
      <c r="I61" s="175">
        <f>AW58*AL71</f>
        <v>1</v>
      </c>
      <c r="J61" s="175"/>
      <c r="K61" s="175"/>
      <c r="L61" s="176">
        <f t="shared" si="0"/>
        <v>2.7</v>
      </c>
      <c r="M61" s="176"/>
      <c r="N61" s="176"/>
      <c r="O61" s="176"/>
      <c r="P61" s="177">
        <f t="shared" si="1"/>
        <v>2.7</v>
      </c>
      <c r="Q61" s="177"/>
      <c r="R61" s="177"/>
      <c r="S61" s="177"/>
      <c r="T61" s="175">
        <f>AR47+AO47+(0.5*(AM47+AK47))</f>
        <v>2</v>
      </c>
      <c r="U61" s="175"/>
      <c r="V61" s="175"/>
      <c r="W61" s="175"/>
      <c r="X61" s="178">
        <f t="shared" si="2"/>
        <v>5.4</v>
      </c>
      <c r="Y61" s="178"/>
      <c r="Z61" s="178"/>
      <c r="AA61" s="178"/>
      <c r="AG61" s="68"/>
      <c r="AH61" s="69"/>
      <c r="AI61" s="69"/>
      <c r="AJ61" s="69"/>
      <c r="AK61" s="69"/>
      <c r="AL61" s="70"/>
      <c r="AM61" s="68"/>
      <c r="AN61" s="69"/>
      <c r="AO61" s="69"/>
      <c r="AP61" s="70"/>
    </row>
    <row r="62" spans="1:49" ht="15" customHeight="1" x14ac:dyDescent="0.25">
      <c r="C62" s="171" t="s">
        <v>91</v>
      </c>
      <c r="D62" s="171"/>
      <c r="E62" s="186" t="s">
        <v>57</v>
      </c>
      <c r="F62" s="187"/>
      <c r="G62" s="187"/>
      <c r="H62" s="187"/>
      <c r="I62" s="175">
        <f>AW58*AH71</f>
        <v>1</v>
      </c>
      <c r="J62" s="175"/>
      <c r="K62" s="175"/>
      <c r="L62" s="176">
        <f t="shared" si="0"/>
        <v>2.7</v>
      </c>
      <c r="M62" s="176"/>
      <c r="N62" s="176"/>
      <c r="O62" s="176"/>
      <c r="P62" s="177">
        <f t="shared" si="1"/>
        <v>2.7</v>
      </c>
      <c r="Q62" s="177"/>
      <c r="R62" s="177"/>
      <c r="S62" s="177"/>
      <c r="T62" s="175">
        <f>AR47+AO47+AM47+AK47+(0.5*AI47)</f>
        <v>3</v>
      </c>
      <c r="U62" s="175"/>
      <c r="V62" s="175"/>
      <c r="W62" s="175"/>
      <c r="X62" s="178">
        <f t="shared" si="2"/>
        <v>8.1000000000000014</v>
      </c>
      <c r="Y62" s="178"/>
      <c r="Z62" s="178"/>
      <c r="AA62" s="178"/>
      <c r="AG62" s="71"/>
      <c r="AH62" s="72"/>
      <c r="AI62" s="72"/>
      <c r="AJ62" s="72"/>
      <c r="AK62" s="72"/>
      <c r="AL62" s="73"/>
      <c r="AM62" s="71"/>
      <c r="AN62" s="72"/>
      <c r="AO62" s="72"/>
      <c r="AP62" s="73"/>
      <c r="AW62" s="12">
        <v>1</v>
      </c>
    </row>
    <row r="63" spans="1:49" ht="15" customHeight="1" x14ac:dyDescent="0.25">
      <c r="C63" s="179" t="s">
        <v>84</v>
      </c>
      <c r="D63" s="179"/>
      <c r="E63" s="180" t="s">
        <v>57</v>
      </c>
      <c r="F63" s="181"/>
      <c r="G63" s="181"/>
      <c r="H63" s="181"/>
      <c r="I63" s="182">
        <f>AW54*(AI47+AK47)</f>
        <v>1.5</v>
      </c>
      <c r="J63" s="182"/>
      <c r="K63" s="182"/>
      <c r="L63" s="183">
        <f t="shared" si="0"/>
        <v>2.7</v>
      </c>
      <c r="M63" s="183"/>
      <c r="N63" s="183"/>
      <c r="O63" s="183"/>
      <c r="P63" s="184">
        <f t="shared" si="1"/>
        <v>4.0500000000000007</v>
      </c>
      <c r="Q63" s="184"/>
      <c r="R63" s="184"/>
      <c r="S63" s="184"/>
      <c r="T63" s="182">
        <f>AR47+AO47+AM47+(0.5*(AK47+AI47))</f>
        <v>2.75</v>
      </c>
      <c r="U63" s="182"/>
      <c r="V63" s="182"/>
      <c r="W63" s="182"/>
      <c r="X63" s="185">
        <f t="shared" si="2"/>
        <v>11.137500000000003</v>
      </c>
      <c r="Y63" s="185"/>
      <c r="Z63" s="185"/>
      <c r="AA63" s="185"/>
      <c r="AG63" s="71"/>
      <c r="AH63" s="72"/>
      <c r="AI63" s="72"/>
      <c r="AJ63" s="72"/>
      <c r="AK63" s="72"/>
      <c r="AL63" s="73"/>
      <c r="AM63" s="71"/>
      <c r="AN63" s="72"/>
      <c r="AO63" s="72"/>
      <c r="AP63" s="73"/>
    </row>
    <row r="64" spans="1:49" ht="15" customHeight="1" thickBot="1" x14ac:dyDescent="0.3">
      <c r="C64" s="171" t="s">
        <v>92</v>
      </c>
      <c r="D64" s="171"/>
      <c r="E64" s="172" t="s">
        <v>57</v>
      </c>
      <c r="F64" s="173"/>
      <c r="G64" s="173"/>
      <c r="H64" s="174"/>
      <c r="I64" s="175">
        <f>AW50*AI47</f>
        <v>1</v>
      </c>
      <c r="J64" s="175"/>
      <c r="K64" s="175"/>
      <c r="L64" s="176">
        <f t="shared" si="0"/>
        <v>2.7</v>
      </c>
      <c r="M64" s="176"/>
      <c r="N64" s="176"/>
      <c r="O64" s="176"/>
      <c r="P64" s="177">
        <f t="shared" si="1"/>
        <v>2.7</v>
      </c>
      <c r="Q64" s="177"/>
      <c r="R64" s="177"/>
      <c r="S64" s="177"/>
      <c r="T64" s="175">
        <f>AR47+AO47+AM47+AK47+(0.5*AI47)</f>
        <v>3</v>
      </c>
      <c r="U64" s="175"/>
      <c r="V64" s="175"/>
      <c r="W64" s="175"/>
      <c r="X64" s="178">
        <f t="shared" si="2"/>
        <v>8.1000000000000014</v>
      </c>
      <c r="Y64" s="178"/>
      <c r="Z64" s="178"/>
      <c r="AA64" s="178"/>
      <c r="AG64" s="74"/>
      <c r="AH64" s="75"/>
      <c r="AI64" s="75"/>
      <c r="AJ64" s="75"/>
      <c r="AK64" s="75"/>
      <c r="AL64" s="76"/>
      <c r="AM64" s="74"/>
      <c r="AN64" s="75"/>
      <c r="AO64" s="75"/>
      <c r="AP64" s="76"/>
    </row>
    <row r="65" spans="1:52" ht="15" customHeight="1" x14ac:dyDescent="0.25">
      <c r="L65" s="161" t="s">
        <v>28</v>
      </c>
      <c r="M65" s="162"/>
      <c r="N65" s="162"/>
      <c r="O65" s="162"/>
      <c r="P65" s="163">
        <f>SUM(P56:S64)</f>
        <v>28.35</v>
      </c>
      <c r="Q65" s="163"/>
      <c r="R65" s="163"/>
      <c r="S65" s="164"/>
      <c r="T65" s="161" t="s">
        <v>28</v>
      </c>
      <c r="U65" s="162"/>
      <c r="V65" s="162"/>
      <c r="W65" s="162"/>
      <c r="X65" s="165">
        <f>SUM(X56:AA64)</f>
        <v>64.462500000000006</v>
      </c>
      <c r="Y65" s="165"/>
      <c r="Z65" s="165"/>
      <c r="AA65" s="166"/>
      <c r="AG65" s="68"/>
      <c r="AH65" s="69"/>
      <c r="AI65" s="69"/>
      <c r="AJ65" s="70"/>
      <c r="AK65" s="68"/>
      <c r="AL65" s="69"/>
      <c r="AM65" s="69"/>
      <c r="AN65" s="70"/>
      <c r="AO65" s="68"/>
      <c r="AP65" s="69"/>
      <c r="AQ65" s="69"/>
      <c r="AR65" s="69"/>
      <c r="AS65" s="69"/>
      <c r="AT65" s="70"/>
    </row>
    <row r="66" spans="1:52" ht="15" customHeight="1" x14ac:dyDescent="0.25">
      <c r="AG66" s="71"/>
      <c r="AH66" s="72"/>
      <c r="AI66" s="72"/>
      <c r="AJ66" s="73"/>
      <c r="AK66" s="71"/>
      <c r="AL66" s="72"/>
      <c r="AM66" s="72"/>
      <c r="AN66" s="73"/>
      <c r="AO66" s="71"/>
      <c r="AP66" s="72"/>
      <c r="AQ66" s="72"/>
      <c r="AR66" s="72"/>
      <c r="AS66" s="72"/>
      <c r="AT66" s="73"/>
      <c r="AW66" s="12">
        <v>1</v>
      </c>
    </row>
    <row r="67" spans="1:52" ht="15" customHeight="1" x14ac:dyDescent="0.25">
      <c r="M67" s="161" t="s">
        <v>19</v>
      </c>
      <c r="N67" s="162"/>
      <c r="O67" s="167">
        <f>P65</f>
        <v>28.35</v>
      </c>
      <c r="P67" s="167"/>
      <c r="Q67" s="168"/>
      <c r="U67" s="161" t="s">
        <v>45</v>
      </c>
      <c r="V67" s="162"/>
      <c r="W67" s="169">
        <f>X65</f>
        <v>64.462500000000006</v>
      </c>
      <c r="X67" s="169"/>
      <c r="Y67" s="169"/>
      <c r="Z67" s="170"/>
      <c r="AG67" s="71"/>
      <c r="AH67" s="72"/>
      <c r="AI67" s="72"/>
      <c r="AJ67" s="73"/>
      <c r="AK67" s="71"/>
      <c r="AL67" s="72"/>
      <c r="AM67" s="72"/>
      <c r="AN67" s="73"/>
      <c r="AO67" s="71"/>
      <c r="AP67" s="72"/>
      <c r="AQ67" s="72"/>
      <c r="AR67" s="72"/>
      <c r="AS67" s="72"/>
      <c r="AT67" s="73"/>
    </row>
    <row r="68" spans="1:52" ht="15" customHeight="1" thickBot="1" x14ac:dyDescent="0.3">
      <c r="I68" s="25"/>
      <c r="J68" s="25"/>
      <c r="K68" s="26"/>
      <c r="L68" s="26"/>
      <c r="M68" s="26"/>
      <c r="Q68" s="25"/>
      <c r="R68" s="25"/>
      <c r="S68" s="27"/>
      <c r="T68" s="27"/>
      <c r="U68" s="27"/>
      <c r="AG68" s="74"/>
      <c r="AH68" s="75"/>
      <c r="AI68" s="75"/>
      <c r="AJ68" s="76"/>
      <c r="AK68" s="74"/>
      <c r="AL68" s="75"/>
      <c r="AM68" s="75"/>
      <c r="AN68" s="76"/>
      <c r="AO68" s="74"/>
      <c r="AP68" s="75"/>
      <c r="AQ68" s="75"/>
      <c r="AR68" s="75"/>
      <c r="AS68" s="75"/>
      <c r="AT68" s="76"/>
      <c r="AX68" s="18"/>
      <c r="AY68" s="18"/>
      <c r="AZ68" s="18"/>
    </row>
    <row r="69" spans="1:52" ht="15" customHeight="1" x14ac:dyDescent="0.25">
      <c r="A69" s="24" t="s">
        <v>0</v>
      </c>
      <c r="B69" s="19" t="s">
        <v>46</v>
      </c>
    </row>
    <row r="71" spans="1:52" ht="15" customHeight="1" x14ac:dyDescent="0.25">
      <c r="B71" s="22" t="s">
        <v>47</v>
      </c>
      <c r="S71" s="28"/>
      <c r="AH71" s="12">
        <v>1</v>
      </c>
      <c r="AL71" s="66">
        <v>1</v>
      </c>
      <c r="AQ71" s="12">
        <v>1.5</v>
      </c>
    </row>
    <row r="72" spans="1:52" ht="15" customHeight="1" x14ac:dyDescent="0.25">
      <c r="J72" s="29"/>
      <c r="K72" s="29"/>
      <c r="AN72" s="54">
        <v>3.5</v>
      </c>
    </row>
    <row r="73" spans="1:52" ht="15" customHeight="1" x14ac:dyDescent="0.25">
      <c r="C73" s="142" t="s">
        <v>48</v>
      </c>
      <c r="D73" s="142"/>
      <c r="E73" s="158">
        <f>E44</f>
        <v>7.5000000000000027</v>
      </c>
      <c r="F73" s="158"/>
      <c r="G73" s="158"/>
      <c r="H73" s="159">
        <f>F48</f>
        <v>1.6666666666666667</v>
      </c>
      <c r="I73" s="159"/>
      <c r="J73" s="159"/>
      <c r="K73" s="159"/>
      <c r="L73" s="18"/>
    </row>
    <row r="74" spans="1:52" ht="15" customHeight="1" x14ac:dyDescent="0.25">
      <c r="K74" s="30"/>
      <c r="L74" s="18"/>
    </row>
    <row r="75" spans="1:52" ht="15" customHeight="1" x14ac:dyDescent="0.25">
      <c r="C75" s="142" t="s">
        <v>48</v>
      </c>
      <c r="D75" s="142"/>
      <c r="E75" s="160">
        <f>E73*H73</f>
        <v>12.500000000000005</v>
      </c>
      <c r="F75" s="160"/>
      <c r="G75" s="160"/>
      <c r="H75" s="160"/>
      <c r="I75" s="31"/>
    </row>
    <row r="77" spans="1:52" ht="15" customHeight="1" x14ac:dyDescent="0.25">
      <c r="A77" s="24" t="s">
        <v>0</v>
      </c>
      <c r="B77" s="19" t="s">
        <v>49</v>
      </c>
      <c r="O77" s="143" t="s">
        <v>21</v>
      </c>
      <c r="P77" s="143"/>
      <c r="Q77" s="144">
        <v>1.5</v>
      </c>
      <c r="R77" s="144"/>
    </row>
    <row r="78" spans="1:52" ht="15" customHeight="1" x14ac:dyDescent="0.25">
      <c r="AD78" s="19"/>
    </row>
    <row r="79" spans="1:52" ht="15" customHeight="1" x14ac:dyDescent="0.25">
      <c r="H79" s="12" t="s">
        <v>27</v>
      </c>
      <c r="I79" s="12" t="s">
        <v>36</v>
      </c>
    </row>
    <row r="80" spans="1:52" ht="15" customHeight="1" x14ac:dyDescent="0.25">
      <c r="L80" s="142"/>
      <c r="M80" s="142"/>
      <c r="N80" s="147">
        <v>0.45</v>
      </c>
      <c r="O80" s="147"/>
    </row>
    <row r="81" spans="1:18" ht="15" customHeight="1" x14ac:dyDescent="0.25">
      <c r="C81" s="39"/>
      <c r="D81" s="39"/>
      <c r="E81" s="39"/>
      <c r="F81" s="59"/>
      <c r="G81" s="59"/>
      <c r="H81" s="59"/>
      <c r="I81" s="59"/>
      <c r="J81" s="59"/>
      <c r="K81" s="32"/>
      <c r="L81" s="32"/>
      <c r="M81" s="33"/>
    </row>
    <row r="82" spans="1:18" ht="15" customHeight="1" x14ac:dyDescent="0.25">
      <c r="C82" s="125" t="s">
        <v>21</v>
      </c>
      <c r="D82" s="126"/>
      <c r="E82" s="126"/>
      <c r="F82" s="127">
        <f>(N80*O67)/E44</f>
        <v>1.7009999999999994</v>
      </c>
      <c r="G82" s="127"/>
      <c r="H82" s="122" t="str">
        <f>IF(F82&lt;I82,"&lt;","&gt;")</f>
        <v>&gt;</v>
      </c>
      <c r="I82" s="127">
        <f>Q77</f>
        <v>1.5</v>
      </c>
      <c r="J82" s="128"/>
      <c r="K82" s="34"/>
      <c r="L82" s="35" t="str">
        <f>IF(H82="&gt;","… Conforme","… No cumple")</f>
        <v>… Conforme</v>
      </c>
    </row>
    <row r="83" spans="1:18" ht="15" customHeight="1" x14ac:dyDescent="0.25">
      <c r="C83" s="39"/>
      <c r="D83" s="39"/>
      <c r="E83" s="39"/>
      <c r="F83" s="59"/>
      <c r="G83" s="59"/>
      <c r="H83" s="59"/>
      <c r="I83" s="59"/>
      <c r="J83" s="59"/>
      <c r="K83" s="32"/>
      <c r="L83" s="32"/>
      <c r="M83" s="33"/>
    </row>
    <row r="84" spans="1:18" ht="15" customHeight="1" x14ac:dyDescent="0.25">
      <c r="A84" s="24" t="s">
        <v>0</v>
      </c>
      <c r="B84" s="19" t="s">
        <v>50</v>
      </c>
      <c r="L84" s="143" t="s">
        <v>21</v>
      </c>
      <c r="M84" s="143"/>
      <c r="N84" s="144">
        <v>2</v>
      </c>
      <c r="O84" s="144"/>
      <c r="P84" s="36"/>
      <c r="Q84" s="37"/>
      <c r="R84" s="37"/>
    </row>
    <row r="89" spans="1:18" ht="15" customHeight="1" x14ac:dyDescent="0.25">
      <c r="C89" s="125" t="s">
        <v>22</v>
      </c>
      <c r="D89" s="126"/>
      <c r="E89" s="126"/>
      <c r="F89" s="127">
        <f>W67/E75</f>
        <v>5.1569999999999983</v>
      </c>
      <c r="G89" s="127"/>
      <c r="H89" s="122" t="str">
        <f>IF(F89&lt;I89,"&lt;","&gt;")</f>
        <v>&gt;</v>
      </c>
      <c r="I89" s="127">
        <f>N84</f>
        <v>2</v>
      </c>
      <c r="J89" s="128"/>
      <c r="K89" s="34"/>
      <c r="L89" s="33" t="str">
        <f>IF(H89="&gt;","… Conforme","… No cumple")</f>
        <v>… Conforme</v>
      </c>
    </row>
    <row r="90" spans="1:18" ht="15" customHeight="1" x14ac:dyDescent="0.25">
      <c r="C90" s="39"/>
      <c r="D90" s="39"/>
      <c r="E90" s="39"/>
      <c r="F90" s="59"/>
      <c r="G90" s="59"/>
      <c r="H90" s="59"/>
      <c r="I90" s="59"/>
      <c r="J90" s="59"/>
      <c r="K90" s="32"/>
      <c r="L90" s="32"/>
      <c r="M90" s="33"/>
    </row>
    <row r="91" spans="1:18" ht="15" customHeight="1" x14ac:dyDescent="0.25">
      <c r="A91" s="24" t="s">
        <v>0</v>
      </c>
      <c r="B91" s="19" t="s">
        <v>51</v>
      </c>
    </row>
    <row r="93" spans="1:18" ht="15" customHeight="1" x14ac:dyDescent="0.25">
      <c r="B93" s="22" t="s">
        <v>23</v>
      </c>
    </row>
    <row r="95" spans="1:18" ht="15" customHeight="1" x14ac:dyDescent="0.25">
      <c r="H95" s="141">
        <f>(W67-E75)/O67</f>
        <v>1.8328924162257494</v>
      </c>
      <c r="I95" s="141"/>
      <c r="J95" s="141"/>
    </row>
    <row r="97" spans="1:33" ht="15" customHeight="1" x14ac:dyDescent="0.25">
      <c r="B97" s="22" t="s">
        <v>24</v>
      </c>
    </row>
    <row r="99" spans="1:33" ht="15" customHeight="1" x14ac:dyDescent="0.25">
      <c r="H99" s="142" t="s">
        <v>25</v>
      </c>
      <c r="I99" s="142"/>
      <c r="J99" s="157">
        <f>(B/2)-H95</f>
        <v>-8.2892416225749388E-2</v>
      </c>
      <c r="K99" s="157"/>
      <c r="L99" s="157"/>
    </row>
    <row r="100" spans="1:33" ht="15" customHeight="1" x14ac:dyDescent="0.25">
      <c r="U100" s="18"/>
    </row>
    <row r="101" spans="1:33" ht="15" customHeight="1" x14ac:dyDescent="0.25">
      <c r="O101" s="57"/>
      <c r="P101" s="57"/>
      <c r="Q101" s="56"/>
      <c r="R101" s="56"/>
      <c r="S101" s="56"/>
      <c r="T101" s="38"/>
      <c r="U101" s="18"/>
    </row>
    <row r="102" spans="1:33" ht="15" customHeight="1" x14ac:dyDescent="0.25">
      <c r="B102" s="12" t="s">
        <v>37</v>
      </c>
      <c r="L102" s="141">
        <f>B/6</f>
        <v>0.58333333333333337</v>
      </c>
      <c r="M102" s="141"/>
      <c r="N102" s="141"/>
      <c r="P102" s="35" t="str">
        <f>IF(J99&lt;L102,"… Ok: cae dentro del tercio central","… No cumple")</f>
        <v>… Ok: cae dentro del tercio central</v>
      </c>
      <c r="U102" s="18"/>
    </row>
    <row r="103" spans="1:33" ht="15" customHeight="1" x14ac:dyDescent="0.25">
      <c r="T103" s="35"/>
      <c r="U103" s="18"/>
    </row>
    <row r="104" spans="1:33" ht="15" customHeight="1" x14ac:dyDescent="0.25">
      <c r="B104" s="22" t="s">
        <v>26</v>
      </c>
      <c r="N104" s="57"/>
      <c r="O104" s="57"/>
      <c r="P104" s="56"/>
      <c r="Q104" s="56"/>
      <c r="R104" s="56"/>
      <c r="T104" s="35"/>
      <c r="U104" s="18"/>
    </row>
    <row r="105" spans="1:33" ht="15" customHeight="1" x14ac:dyDescent="0.25">
      <c r="O105" s="57"/>
      <c r="P105" s="57"/>
      <c r="Q105" s="56"/>
      <c r="R105" s="56"/>
      <c r="S105" s="56"/>
      <c r="T105" s="38"/>
      <c r="U105" s="18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:33" ht="15" customHeight="1" x14ac:dyDescent="0.25"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:33" ht="15" customHeight="1" x14ac:dyDescent="0.25"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spans="1:33" ht="15" customHeight="1" x14ac:dyDescent="0.25">
      <c r="F108" s="125" t="s">
        <v>58</v>
      </c>
      <c r="G108" s="126"/>
      <c r="H108" s="154">
        <f>((O67/Z23)*(1+(6*J99/Z23)))*(1000/100^2)</f>
        <v>0.6948979591836737</v>
      </c>
      <c r="I108" s="154"/>
      <c r="J108" s="154"/>
      <c r="K108" s="154"/>
      <c r="L108" s="123" t="str">
        <f>IF(H108&lt;O108,"&lt;","&gt;")</f>
        <v>&lt;</v>
      </c>
      <c r="M108" s="126" t="s">
        <v>60</v>
      </c>
      <c r="N108" s="126"/>
      <c r="O108" s="155">
        <f>Qadm</f>
        <v>0.7</v>
      </c>
      <c r="P108" s="155"/>
      <c r="Q108" s="155"/>
      <c r="R108" s="156"/>
      <c r="T108" s="35" t="str">
        <f>IF(L108="&lt;","… Conforme","… Aumentar B")</f>
        <v>… Conforme</v>
      </c>
      <c r="Y108" s="14"/>
      <c r="Z108" s="14"/>
      <c r="AA108" s="14"/>
      <c r="AB108" s="14"/>
      <c r="AC108" s="14"/>
      <c r="AD108" s="38"/>
      <c r="AE108" s="14"/>
      <c r="AF108" s="14"/>
      <c r="AG108" s="14"/>
    </row>
    <row r="109" spans="1:33" ht="15" customHeight="1" x14ac:dyDescent="0.25">
      <c r="Y109" s="14"/>
      <c r="Z109" s="14"/>
      <c r="AA109" s="14"/>
      <c r="AB109" s="14"/>
      <c r="AC109" s="14"/>
      <c r="AD109" s="38"/>
      <c r="AE109" s="14"/>
      <c r="AF109" s="14"/>
      <c r="AG109" s="14"/>
    </row>
    <row r="110" spans="1:33" ht="15" customHeight="1" x14ac:dyDescent="0.25">
      <c r="F110" s="125" t="s">
        <v>59</v>
      </c>
      <c r="G110" s="126"/>
      <c r="H110" s="154">
        <f>((O67/Z23)*(1-(6*J99/Z23)))*(1000/100^2)</f>
        <v>0.92510204081632641</v>
      </c>
      <c r="I110" s="154"/>
      <c r="J110" s="154"/>
      <c r="K110" s="154"/>
      <c r="L110" s="123" t="str">
        <f>IF(H110&lt;O110,"&lt;","&gt;")</f>
        <v>&gt;</v>
      </c>
      <c r="M110" s="126" t="s">
        <v>60</v>
      </c>
      <c r="N110" s="126"/>
      <c r="O110" s="155">
        <f>Qadm</f>
        <v>0.7</v>
      </c>
      <c r="P110" s="155"/>
      <c r="Q110" s="155"/>
      <c r="R110" s="156"/>
      <c r="T110" s="35" t="str">
        <f>IF(L110="&lt;","… Conforme","… Aumentar B")</f>
        <v>… Aumentar B</v>
      </c>
      <c r="Y110" s="14"/>
      <c r="Z110" s="14"/>
      <c r="AA110" s="14"/>
      <c r="AB110" s="14"/>
      <c r="AC110" s="14"/>
      <c r="AD110" s="38"/>
      <c r="AE110" s="14"/>
      <c r="AF110" s="14"/>
      <c r="AG110" s="14"/>
    </row>
    <row r="111" spans="1:33" ht="15" customHeight="1" x14ac:dyDescent="0.25">
      <c r="Y111" s="14"/>
      <c r="Z111" s="14"/>
      <c r="AA111" s="14"/>
      <c r="AB111" s="14"/>
      <c r="AC111" s="14"/>
      <c r="AD111" s="38"/>
      <c r="AE111" s="14"/>
      <c r="AF111" s="14"/>
      <c r="AG111" s="14"/>
    </row>
    <row r="112" spans="1:33" ht="15" customHeight="1" x14ac:dyDescent="0.25">
      <c r="A112" s="24" t="s">
        <v>0</v>
      </c>
      <c r="B112" s="19" t="s">
        <v>52</v>
      </c>
      <c r="Y112" s="14"/>
      <c r="Z112" s="14"/>
      <c r="AA112" s="14"/>
      <c r="AB112" s="14"/>
      <c r="AC112" s="14"/>
      <c r="AD112" s="14"/>
      <c r="AE112" s="14"/>
      <c r="AF112" s="14"/>
      <c r="AG112" s="14"/>
    </row>
    <row r="147" spans="1:26" ht="15" customHeight="1" x14ac:dyDescent="0.25">
      <c r="A147" s="15" t="s">
        <v>61</v>
      </c>
    </row>
    <row r="149" spans="1:26" ht="15" customHeight="1" x14ac:dyDescent="0.25">
      <c r="A149" s="24" t="s">
        <v>0</v>
      </c>
      <c r="B149" s="19" t="s">
        <v>62</v>
      </c>
    </row>
    <row r="150" spans="1:26" ht="15" customHeight="1" x14ac:dyDescent="0.25">
      <c r="L150" s="50" t="s">
        <v>70</v>
      </c>
    </row>
    <row r="151" spans="1:26" ht="15" customHeight="1" x14ac:dyDescent="0.25">
      <c r="C151" s="151">
        <f>AI47</f>
        <v>1</v>
      </c>
      <c r="D151" s="151"/>
      <c r="E151" s="151"/>
      <c r="F151" s="151"/>
      <c r="G151" s="151"/>
      <c r="L151" s="57"/>
      <c r="M151" s="57"/>
      <c r="N151" s="57"/>
    </row>
    <row r="152" spans="1:26" ht="15" customHeight="1" thickBot="1" x14ac:dyDescent="0.3">
      <c r="C152" s="151"/>
      <c r="D152" s="151"/>
      <c r="E152" s="151"/>
      <c r="F152" s="151"/>
      <c r="G152" s="151"/>
      <c r="L152" s="131" t="s">
        <v>93</v>
      </c>
      <c r="M152" s="131"/>
      <c r="N152" s="131"/>
      <c r="O152" s="131"/>
      <c r="P152" s="139">
        <f>C151</f>
        <v>1</v>
      </c>
      <c r="Q152" s="139"/>
      <c r="R152" s="138">
        <f>H153</f>
        <v>1</v>
      </c>
      <c r="S152" s="138"/>
      <c r="T152" s="137">
        <f>Proca</f>
        <v>2.7</v>
      </c>
      <c r="U152" s="137"/>
      <c r="V152" s="137"/>
      <c r="W152" s="39" t="s">
        <v>66</v>
      </c>
      <c r="X152" s="129">
        <f>PRODUCT(P152:V152)</f>
        <v>2.7</v>
      </c>
      <c r="Y152" s="129"/>
      <c r="Z152" s="129"/>
    </row>
    <row r="153" spans="1:26" ht="15" customHeight="1" x14ac:dyDescent="0.25">
      <c r="C153" s="40"/>
      <c r="D153" s="41"/>
      <c r="E153" s="41"/>
      <c r="F153" s="41"/>
      <c r="G153" s="42"/>
      <c r="H153" s="145">
        <f>AW50</f>
        <v>1</v>
      </c>
      <c r="I153" s="130"/>
    </row>
    <row r="154" spans="1:26" ht="15" customHeight="1" x14ac:dyDescent="0.25">
      <c r="C154" s="43"/>
      <c r="D154" s="44"/>
      <c r="E154" s="44"/>
      <c r="F154" s="44"/>
      <c r="G154" s="45"/>
      <c r="H154" s="145"/>
      <c r="I154" s="130"/>
      <c r="L154" s="142" t="s">
        <v>94</v>
      </c>
      <c r="M154" s="142"/>
      <c r="N154" s="142"/>
      <c r="O154" s="142"/>
      <c r="P154" s="142"/>
      <c r="Q154" s="146">
        <f>X152</f>
        <v>2.7</v>
      </c>
      <c r="R154" s="146"/>
      <c r="S154" s="146"/>
      <c r="T154" s="138">
        <f>E159</f>
        <v>0.5</v>
      </c>
      <c r="U154" s="138"/>
      <c r="V154" s="39" t="s">
        <v>66</v>
      </c>
      <c r="W154" s="134">
        <f>Q154*T154</f>
        <v>1.35</v>
      </c>
      <c r="X154" s="134"/>
      <c r="Y154" s="134"/>
      <c r="Z154" s="134"/>
    </row>
    <row r="155" spans="1:26" ht="15" customHeight="1" x14ac:dyDescent="0.25">
      <c r="C155" s="43"/>
      <c r="D155" s="44"/>
      <c r="E155" s="44"/>
      <c r="F155" s="44"/>
      <c r="G155" s="45"/>
      <c r="H155" s="145"/>
      <c r="I155" s="130"/>
    </row>
    <row r="156" spans="1:26" ht="15" customHeight="1" thickBot="1" x14ac:dyDescent="0.3">
      <c r="C156" s="46"/>
      <c r="D156" s="47"/>
      <c r="E156" s="47"/>
      <c r="F156" s="47"/>
      <c r="G156" s="48"/>
      <c r="H156" s="145"/>
      <c r="I156" s="130"/>
      <c r="L156" s="50" t="s">
        <v>71</v>
      </c>
    </row>
    <row r="158" spans="1:26" ht="15" customHeight="1" x14ac:dyDescent="0.25">
      <c r="L158" s="142" t="s">
        <v>67</v>
      </c>
      <c r="M158" s="142"/>
      <c r="N158" s="142"/>
      <c r="O158" s="142"/>
      <c r="W158" s="39" t="s">
        <v>66</v>
      </c>
      <c r="X158" s="149">
        <f>0.5*Ka*Psuelo*(H153^2)</f>
        <v>0.3000000000000001</v>
      </c>
      <c r="Y158" s="149"/>
      <c r="Z158" s="149"/>
    </row>
    <row r="159" spans="1:26" ht="15" customHeight="1" x14ac:dyDescent="0.25">
      <c r="E159" s="141">
        <f>C151/2</f>
        <v>0.5</v>
      </c>
      <c r="F159" s="141"/>
      <c r="G159" s="141"/>
    </row>
    <row r="160" spans="1:26" ht="15" customHeight="1" x14ac:dyDescent="0.25">
      <c r="L160" s="142" t="s">
        <v>68</v>
      </c>
      <c r="M160" s="142"/>
      <c r="N160" s="142"/>
      <c r="O160" s="142"/>
      <c r="T160" s="39" t="s">
        <v>66</v>
      </c>
      <c r="U160" s="134">
        <f>X158*(1/3)*H153</f>
        <v>0.10000000000000003</v>
      </c>
      <c r="V160" s="134"/>
      <c r="W160" s="134"/>
      <c r="X160" s="134"/>
    </row>
    <row r="162" spans="1:38" ht="15" customHeight="1" x14ac:dyDescent="0.25">
      <c r="B162" s="51" t="s">
        <v>72</v>
      </c>
      <c r="K162" s="143" t="s">
        <v>21</v>
      </c>
      <c r="L162" s="143"/>
      <c r="M162" s="144">
        <v>1.5</v>
      </c>
      <c r="N162" s="144"/>
      <c r="P162" s="49"/>
      <c r="R162" s="50" t="s">
        <v>73</v>
      </c>
      <c r="Z162" s="143" t="s">
        <v>22</v>
      </c>
      <c r="AA162" s="143"/>
      <c r="AB162" s="144">
        <v>2</v>
      </c>
      <c r="AC162" s="144"/>
    </row>
    <row r="163" spans="1:38" ht="15" customHeight="1" x14ac:dyDescent="0.25">
      <c r="P163" s="49"/>
    </row>
    <row r="164" spans="1:38" ht="15" customHeight="1" x14ac:dyDescent="0.25">
      <c r="I164" s="142"/>
      <c r="J164" s="142"/>
      <c r="K164" s="147">
        <v>0.5</v>
      </c>
      <c r="L164" s="147"/>
      <c r="P164" s="49"/>
    </row>
    <row r="165" spans="1:38" ht="15" customHeight="1" x14ac:dyDescent="0.25">
      <c r="P165" s="49"/>
    </row>
    <row r="166" spans="1:38" ht="15" customHeight="1" x14ac:dyDescent="0.25">
      <c r="C166" s="125" t="s">
        <v>21</v>
      </c>
      <c r="D166" s="126"/>
      <c r="E166" s="126"/>
      <c r="F166" s="127">
        <f>K164*X152/X158</f>
        <v>4.4999999999999991</v>
      </c>
      <c r="G166" s="127"/>
      <c r="H166" s="122" t="str">
        <f>IF(F166&lt;I166,"&lt;","&gt;")</f>
        <v>&gt;</v>
      </c>
      <c r="I166" s="127">
        <f>M162</f>
        <v>1.5</v>
      </c>
      <c r="J166" s="128"/>
      <c r="K166" s="35" t="str">
        <f>IF(H166="&gt;","… Conforme","… No cumple")</f>
        <v>… Conforme</v>
      </c>
      <c r="P166" s="49"/>
      <c r="S166" s="125" t="s">
        <v>22</v>
      </c>
      <c r="T166" s="126"/>
      <c r="U166" s="126"/>
      <c r="V166" s="127">
        <f>W154/U160</f>
        <v>13.499999999999996</v>
      </c>
      <c r="W166" s="127"/>
      <c r="X166" s="122" t="str">
        <f>IF(V166&lt;Y166,"&lt;","&gt;")</f>
        <v>&gt;</v>
      </c>
      <c r="Y166" s="127">
        <f>AB162</f>
        <v>2</v>
      </c>
      <c r="Z166" s="128"/>
      <c r="AA166" s="33" t="str">
        <f>IF(X166="&gt;","… Conforme","… No cumple")</f>
        <v>… Conforme</v>
      </c>
    </row>
    <row r="171" spans="1:38" ht="15" customHeight="1" x14ac:dyDescent="0.25">
      <c r="A171" s="24" t="s">
        <v>0</v>
      </c>
      <c r="B171" s="19" t="s">
        <v>69</v>
      </c>
      <c r="Q171" s="36"/>
      <c r="AL171" s="55"/>
    </row>
    <row r="172" spans="1:38" ht="15" customHeight="1" x14ac:dyDescent="0.25">
      <c r="N172" s="50" t="s">
        <v>70</v>
      </c>
    </row>
    <row r="173" spans="1:38" ht="15" customHeight="1" x14ac:dyDescent="0.25">
      <c r="C173" s="152">
        <f>$AI$47</f>
        <v>1</v>
      </c>
      <c r="D173" s="152"/>
      <c r="E173" s="152"/>
      <c r="F173" s="152"/>
      <c r="G173" s="152"/>
      <c r="H173" s="151">
        <f>$AK$47</f>
        <v>0.5</v>
      </c>
      <c r="I173" s="151"/>
      <c r="N173" s="57"/>
      <c r="O173" s="57"/>
      <c r="P173" s="57"/>
    </row>
    <row r="174" spans="1:38" ht="15" customHeight="1" thickBot="1" x14ac:dyDescent="0.3">
      <c r="C174" s="153"/>
      <c r="D174" s="153"/>
      <c r="E174" s="153"/>
      <c r="F174" s="153"/>
      <c r="G174" s="153"/>
      <c r="H174" s="151"/>
      <c r="I174" s="151"/>
      <c r="N174" s="131" t="s">
        <v>93</v>
      </c>
      <c r="O174" s="131"/>
      <c r="P174" s="131"/>
      <c r="Q174" s="131"/>
      <c r="R174" s="139">
        <f>C173</f>
        <v>1</v>
      </c>
      <c r="S174" s="139"/>
      <c r="T174" s="138">
        <f>J175</f>
        <v>1</v>
      </c>
      <c r="U174" s="138"/>
      <c r="V174" s="137">
        <f>Proca</f>
        <v>2.7</v>
      </c>
      <c r="W174" s="137"/>
      <c r="X174" s="137"/>
      <c r="Y174" s="39" t="s">
        <v>66</v>
      </c>
      <c r="Z174" s="129">
        <f>PRODUCT(R174:X174)</f>
        <v>2.7</v>
      </c>
      <c r="AA174" s="129"/>
      <c r="AB174" s="129"/>
    </row>
    <row r="175" spans="1:38" ht="15" customHeight="1" x14ac:dyDescent="0.25">
      <c r="C175" s="40"/>
      <c r="D175" s="41"/>
      <c r="E175" s="41"/>
      <c r="F175" s="41"/>
      <c r="G175" s="42"/>
      <c r="J175" s="130">
        <f>$AW$50</f>
        <v>1</v>
      </c>
      <c r="K175" s="130"/>
      <c r="N175" s="131" t="s">
        <v>95</v>
      </c>
      <c r="O175" s="131"/>
      <c r="P175" s="131"/>
      <c r="Q175" s="131"/>
      <c r="R175" s="139">
        <f>J179</f>
        <v>1</v>
      </c>
      <c r="S175" s="139"/>
      <c r="T175" s="138">
        <f>C184</f>
        <v>1.5</v>
      </c>
      <c r="U175" s="138"/>
      <c r="V175" s="137">
        <f>Proca</f>
        <v>2.7</v>
      </c>
      <c r="W175" s="137"/>
      <c r="X175" s="137"/>
      <c r="Y175" s="39" t="s">
        <v>66</v>
      </c>
      <c r="Z175" s="150">
        <f>PRODUCT(R175:X175)</f>
        <v>4.0500000000000007</v>
      </c>
      <c r="AA175" s="150"/>
      <c r="AB175" s="150"/>
    </row>
    <row r="176" spans="1:38" ht="15" customHeight="1" x14ac:dyDescent="0.25">
      <c r="C176" s="43"/>
      <c r="D176" s="44"/>
      <c r="E176" s="44"/>
      <c r="F176" s="44"/>
      <c r="G176" s="45"/>
      <c r="J176" s="130"/>
      <c r="K176" s="130"/>
      <c r="X176" s="142" t="s">
        <v>74</v>
      </c>
      <c r="Y176" s="142"/>
      <c r="Z176" s="129">
        <f>SUM(Z174:AB175)</f>
        <v>6.7500000000000009</v>
      </c>
      <c r="AA176" s="129"/>
      <c r="AB176" s="129"/>
    </row>
    <row r="177" spans="2:29" ht="15" customHeight="1" x14ac:dyDescent="0.25">
      <c r="C177" s="43"/>
      <c r="D177" s="44"/>
      <c r="E177" s="44"/>
      <c r="F177" s="44"/>
      <c r="G177" s="45"/>
      <c r="J177" s="130"/>
      <c r="K177" s="130"/>
    </row>
    <row r="178" spans="2:29" ht="15" customHeight="1" thickBot="1" x14ac:dyDescent="0.3">
      <c r="C178" s="43"/>
      <c r="D178" s="44"/>
      <c r="E178" s="44"/>
      <c r="F178" s="44"/>
      <c r="G178" s="45"/>
      <c r="J178" s="130"/>
      <c r="K178" s="130"/>
      <c r="N178" s="131" t="s">
        <v>94</v>
      </c>
      <c r="O178" s="131"/>
      <c r="P178" s="131"/>
      <c r="Q178" s="131"/>
      <c r="R178" s="131"/>
      <c r="S178" s="146">
        <f>Z174</f>
        <v>2.7</v>
      </c>
      <c r="T178" s="146"/>
      <c r="U178" s="146"/>
      <c r="V178" s="133">
        <f>H173+0.5*C173</f>
        <v>1</v>
      </c>
      <c r="W178" s="133"/>
      <c r="X178" s="133"/>
      <c r="Y178" s="39" t="s">
        <v>66</v>
      </c>
      <c r="Z178" s="134">
        <f>S178*V178</f>
        <v>2.7</v>
      </c>
      <c r="AA178" s="134"/>
      <c r="AB178" s="134"/>
      <c r="AC178" s="134"/>
    </row>
    <row r="179" spans="2:29" ht="15" customHeight="1" x14ac:dyDescent="0.25">
      <c r="C179" s="40"/>
      <c r="D179" s="41"/>
      <c r="E179" s="41"/>
      <c r="F179" s="41"/>
      <c r="G179" s="41"/>
      <c r="H179" s="41"/>
      <c r="I179" s="42"/>
      <c r="J179" s="145">
        <f>$AW$54</f>
        <v>1</v>
      </c>
      <c r="K179" s="130"/>
      <c r="N179" s="131" t="s">
        <v>96</v>
      </c>
      <c r="O179" s="131"/>
      <c r="P179" s="131"/>
      <c r="Q179" s="131"/>
      <c r="R179" s="131"/>
      <c r="S179" s="146">
        <f>Z175</f>
        <v>4.0500000000000007</v>
      </c>
      <c r="T179" s="146"/>
      <c r="U179" s="146"/>
      <c r="V179" s="133">
        <f>0.5*C184</f>
        <v>0.75</v>
      </c>
      <c r="W179" s="133"/>
      <c r="X179" s="133"/>
      <c r="Y179" s="39" t="s">
        <v>66</v>
      </c>
      <c r="Z179" s="132">
        <f>S179*V179</f>
        <v>3.0375000000000005</v>
      </c>
      <c r="AA179" s="132"/>
      <c r="AB179" s="132"/>
      <c r="AC179" s="132"/>
    </row>
    <row r="180" spans="2:29" ht="15" customHeight="1" x14ac:dyDescent="0.25">
      <c r="C180" s="43"/>
      <c r="D180" s="44"/>
      <c r="E180" s="44"/>
      <c r="F180" s="44"/>
      <c r="G180" s="44"/>
      <c r="H180" s="44"/>
      <c r="I180" s="45"/>
      <c r="J180" s="145"/>
      <c r="K180" s="130"/>
      <c r="X180" s="142" t="s">
        <v>74</v>
      </c>
      <c r="Y180" s="142"/>
      <c r="Z180" s="148">
        <f>SUM(Z178:AC179)</f>
        <v>5.7375000000000007</v>
      </c>
      <c r="AA180" s="148"/>
      <c r="AB180" s="148"/>
      <c r="AC180" s="148"/>
    </row>
    <row r="181" spans="2:29" ht="15" customHeight="1" x14ac:dyDescent="0.25">
      <c r="C181" s="43"/>
      <c r="D181" s="44"/>
      <c r="E181" s="44"/>
      <c r="F181" s="44"/>
      <c r="G181" s="44"/>
      <c r="H181" s="44"/>
      <c r="I181" s="45"/>
      <c r="J181" s="145"/>
      <c r="K181" s="130"/>
      <c r="N181" s="50" t="s">
        <v>71</v>
      </c>
    </row>
    <row r="182" spans="2:29" ht="15" customHeight="1" x14ac:dyDescent="0.25">
      <c r="C182" s="43"/>
      <c r="D182" s="44"/>
      <c r="E182" s="44"/>
      <c r="F182" s="44"/>
      <c r="G182" s="44"/>
      <c r="H182" s="44"/>
      <c r="I182" s="45"/>
      <c r="J182" s="145"/>
      <c r="K182" s="130"/>
    </row>
    <row r="183" spans="2:29" ht="15" customHeight="1" thickBot="1" x14ac:dyDescent="0.3">
      <c r="C183" s="46"/>
      <c r="D183" s="47"/>
      <c r="E183" s="47"/>
      <c r="F183" s="47"/>
      <c r="G183" s="47"/>
      <c r="H183" s="47"/>
      <c r="I183" s="48"/>
      <c r="J183" s="145"/>
      <c r="K183" s="130"/>
      <c r="N183" s="142" t="s">
        <v>67</v>
      </c>
      <c r="O183" s="142"/>
      <c r="P183" s="142"/>
      <c r="Q183" s="142"/>
      <c r="Y183" s="39" t="s">
        <v>66</v>
      </c>
      <c r="Z183" s="149">
        <f>0.5*Ka*Psuelo*((J175+J179)^2)</f>
        <v>1.2000000000000004</v>
      </c>
      <c r="AA183" s="149"/>
      <c r="AB183" s="149"/>
    </row>
    <row r="184" spans="2:29" ht="15" customHeight="1" x14ac:dyDescent="0.25">
      <c r="C184" s="140">
        <f>$AI$47+$AK$47</f>
        <v>1.5</v>
      </c>
      <c r="D184" s="140"/>
      <c r="E184" s="140"/>
      <c r="F184" s="140"/>
      <c r="G184" s="140"/>
      <c r="H184" s="140"/>
      <c r="I184" s="140"/>
    </row>
    <row r="185" spans="2:29" ht="15" customHeight="1" x14ac:dyDescent="0.25">
      <c r="C185" s="141"/>
      <c r="D185" s="141"/>
      <c r="E185" s="141"/>
      <c r="F185" s="141"/>
      <c r="G185" s="141"/>
      <c r="H185" s="141"/>
      <c r="I185" s="141"/>
      <c r="N185" s="142" t="s">
        <v>68</v>
      </c>
      <c r="O185" s="142"/>
      <c r="P185" s="142"/>
      <c r="Q185" s="142"/>
      <c r="V185" s="39" t="s">
        <v>66</v>
      </c>
      <c r="W185" s="134">
        <f>Z183*(1/3)*(J175+J179)</f>
        <v>0.80000000000000027</v>
      </c>
      <c r="X185" s="134"/>
      <c r="Y185" s="134"/>
      <c r="Z185" s="134"/>
    </row>
    <row r="186" spans="2:29" ht="15" customHeight="1" x14ac:dyDescent="0.25">
      <c r="E186" s="18"/>
      <c r="F186" s="18"/>
      <c r="G186" s="18"/>
      <c r="H186" s="18"/>
      <c r="I186" s="18"/>
      <c r="J186" s="18"/>
      <c r="K186" s="18"/>
    </row>
    <row r="187" spans="2:29" ht="15" customHeight="1" x14ac:dyDescent="0.25">
      <c r="B187" s="51" t="s">
        <v>72</v>
      </c>
      <c r="K187" s="143" t="s">
        <v>21</v>
      </c>
      <c r="L187" s="143"/>
      <c r="M187" s="144">
        <v>1.5</v>
      </c>
      <c r="N187" s="144"/>
      <c r="P187" s="49"/>
      <c r="R187" s="50" t="s">
        <v>73</v>
      </c>
      <c r="Z187" s="143" t="s">
        <v>22</v>
      </c>
      <c r="AA187" s="143"/>
      <c r="AB187" s="144">
        <v>2</v>
      </c>
      <c r="AC187" s="144"/>
    </row>
    <row r="188" spans="2:29" ht="15" customHeight="1" x14ac:dyDescent="0.25">
      <c r="P188" s="49"/>
    </row>
    <row r="189" spans="2:29" ht="15" customHeight="1" x14ac:dyDescent="0.25">
      <c r="I189" s="142"/>
      <c r="J189" s="142"/>
      <c r="K189" s="147">
        <v>0.5</v>
      </c>
      <c r="L189" s="147"/>
      <c r="P189" s="49"/>
    </row>
    <row r="190" spans="2:29" ht="15" customHeight="1" x14ac:dyDescent="0.25">
      <c r="P190" s="49"/>
    </row>
    <row r="191" spans="2:29" ht="15" customHeight="1" x14ac:dyDescent="0.25">
      <c r="C191" s="125" t="s">
        <v>21</v>
      </c>
      <c r="D191" s="126"/>
      <c r="E191" s="126"/>
      <c r="F191" s="127">
        <f>K189*Z176/Z183</f>
        <v>2.8124999999999996</v>
      </c>
      <c r="G191" s="127"/>
      <c r="H191" s="122" t="str">
        <f>IF(F191&lt;I191,"&lt;","&gt;")</f>
        <v>&gt;</v>
      </c>
      <c r="I191" s="127">
        <f>M187</f>
        <v>1.5</v>
      </c>
      <c r="J191" s="128"/>
      <c r="K191" s="35" t="str">
        <f>IF(H191="&gt;","… Conforme","… No cumple")</f>
        <v>… Conforme</v>
      </c>
      <c r="P191" s="49"/>
      <c r="S191" s="125" t="s">
        <v>22</v>
      </c>
      <c r="T191" s="126"/>
      <c r="U191" s="126"/>
      <c r="V191" s="127">
        <f>Z180/W185</f>
        <v>7.1718749999999982</v>
      </c>
      <c r="W191" s="127"/>
      <c r="X191" s="122" t="str">
        <f>IF(V191&lt;Y191,"&lt;","&gt;")</f>
        <v>&gt;</v>
      </c>
      <c r="Y191" s="127">
        <f>AB187</f>
        <v>2</v>
      </c>
      <c r="Z191" s="128"/>
      <c r="AA191" s="33" t="str">
        <f>IF(X191="&gt;","… Conforme","… No cumple")</f>
        <v>… Conforme</v>
      </c>
    </row>
    <row r="196" spans="1:29" ht="15" customHeight="1" x14ac:dyDescent="0.25">
      <c r="A196" s="24" t="s">
        <v>0</v>
      </c>
      <c r="B196" s="19" t="s">
        <v>97</v>
      </c>
      <c r="Q196" s="36"/>
    </row>
    <row r="197" spans="1:29" ht="15" customHeight="1" x14ac:dyDescent="0.25">
      <c r="N197" s="50" t="s">
        <v>70</v>
      </c>
    </row>
    <row r="198" spans="1:29" ht="15" customHeight="1" x14ac:dyDescent="0.25">
      <c r="C198" s="135">
        <f>$AI$47</f>
        <v>1</v>
      </c>
      <c r="D198" s="135"/>
      <c r="E198" s="135"/>
      <c r="F198" s="135"/>
      <c r="G198" s="135"/>
      <c r="H198" s="135">
        <f>$AK$47</f>
        <v>0.5</v>
      </c>
      <c r="I198" s="135"/>
      <c r="K198" s="135">
        <f>$AM$47</f>
        <v>0.5</v>
      </c>
      <c r="L198" s="135"/>
      <c r="N198" s="131" t="s">
        <v>93</v>
      </c>
      <c r="O198" s="131"/>
      <c r="P198" s="131"/>
      <c r="Q198" s="131"/>
      <c r="R198" s="139">
        <f>C198</f>
        <v>1</v>
      </c>
      <c r="S198" s="139"/>
      <c r="T198" s="138">
        <f>J200</f>
        <v>1</v>
      </c>
      <c r="U198" s="138"/>
      <c r="V198" s="137">
        <f>Proca</f>
        <v>2.7</v>
      </c>
      <c r="W198" s="137"/>
      <c r="X198" s="137"/>
      <c r="Y198" s="39" t="s">
        <v>66</v>
      </c>
      <c r="Z198" s="129">
        <f>PRODUCT(R198:X198)</f>
        <v>2.7</v>
      </c>
      <c r="AA198" s="129"/>
      <c r="AB198" s="129"/>
    </row>
    <row r="199" spans="1:29" ht="15" customHeight="1" thickBot="1" x14ac:dyDescent="0.3">
      <c r="C199" s="136"/>
      <c r="D199" s="136"/>
      <c r="E199" s="136"/>
      <c r="F199" s="136"/>
      <c r="G199" s="136"/>
      <c r="H199" s="135"/>
      <c r="I199" s="135"/>
      <c r="K199" s="135"/>
      <c r="L199" s="135"/>
      <c r="N199" s="131" t="s">
        <v>95</v>
      </c>
      <c r="O199" s="131"/>
      <c r="P199" s="131"/>
      <c r="Q199" s="131"/>
      <c r="R199" s="139">
        <f>J204</f>
        <v>1</v>
      </c>
      <c r="S199" s="139"/>
      <c r="T199" s="138">
        <f>C198+H198</f>
        <v>1.5</v>
      </c>
      <c r="U199" s="138"/>
      <c r="V199" s="137">
        <f>Proca</f>
        <v>2.7</v>
      </c>
      <c r="W199" s="137"/>
      <c r="X199" s="137"/>
      <c r="Y199" s="39" t="s">
        <v>66</v>
      </c>
      <c r="Z199" s="129">
        <f>PRODUCT(R199:X199)</f>
        <v>4.0500000000000007</v>
      </c>
      <c r="AA199" s="129"/>
      <c r="AB199" s="129"/>
    </row>
    <row r="200" spans="1:29" ht="15" customHeight="1" x14ac:dyDescent="0.25">
      <c r="C200" s="40"/>
      <c r="D200" s="41"/>
      <c r="E200" s="41"/>
      <c r="F200" s="41"/>
      <c r="G200" s="42"/>
      <c r="J200" s="130">
        <f>$AW$50</f>
        <v>1</v>
      </c>
      <c r="K200" s="130"/>
      <c r="N200" s="131" t="s">
        <v>98</v>
      </c>
      <c r="O200" s="131"/>
      <c r="P200" s="131"/>
      <c r="Q200" s="131"/>
      <c r="R200" s="139">
        <f>C213</f>
        <v>1</v>
      </c>
      <c r="S200" s="139"/>
      <c r="T200" s="138">
        <f>M209</f>
        <v>1</v>
      </c>
      <c r="U200" s="138"/>
      <c r="V200" s="137">
        <f>Proca</f>
        <v>2.7</v>
      </c>
      <c r="W200" s="137"/>
      <c r="X200" s="137"/>
      <c r="Y200" s="39" t="s">
        <v>66</v>
      </c>
      <c r="Z200" s="129">
        <f>PRODUCT(R200:X200)</f>
        <v>2.7</v>
      </c>
      <c r="AA200" s="129"/>
      <c r="AB200" s="129"/>
    </row>
    <row r="201" spans="1:29" ht="15" customHeight="1" x14ac:dyDescent="0.25">
      <c r="C201" s="43"/>
      <c r="D201" s="44"/>
      <c r="E201" s="44"/>
      <c r="F201" s="44"/>
      <c r="G201" s="45"/>
      <c r="J201" s="130"/>
      <c r="K201" s="130"/>
      <c r="N201" s="131" t="s">
        <v>99</v>
      </c>
      <c r="O201" s="131"/>
      <c r="P201" s="131"/>
      <c r="Q201" s="131"/>
      <c r="R201" s="139">
        <f>H213</f>
        <v>1</v>
      </c>
      <c r="S201" s="139"/>
      <c r="T201" s="138">
        <f>M209</f>
        <v>1</v>
      </c>
      <c r="U201" s="138"/>
      <c r="V201" s="137">
        <f>Proca</f>
        <v>2.7</v>
      </c>
      <c r="W201" s="137"/>
      <c r="X201" s="137"/>
      <c r="Y201" s="39" t="s">
        <v>66</v>
      </c>
      <c r="Z201" s="150">
        <f>PRODUCT(R201:X201)</f>
        <v>2.7</v>
      </c>
      <c r="AA201" s="150"/>
      <c r="AB201" s="150"/>
    </row>
    <row r="202" spans="1:29" ht="15" customHeight="1" x14ac:dyDescent="0.25">
      <c r="C202" s="43"/>
      <c r="D202" s="44"/>
      <c r="E202" s="44"/>
      <c r="F202" s="44"/>
      <c r="G202" s="45"/>
      <c r="J202" s="130"/>
      <c r="K202" s="130"/>
      <c r="X202" s="142" t="s">
        <v>74</v>
      </c>
      <c r="Y202" s="142"/>
      <c r="Z202" s="129">
        <f>SUM(Z198:AB201)</f>
        <v>12.150000000000002</v>
      </c>
      <c r="AA202" s="129"/>
      <c r="AB202" s="129"/>
      <c r="AC202" s="129"/>
    </row>
    <row r="203" spans="1:29" ht="15" customHeight="1" thickBot="1" x14ac:dyDescent="0.3">
      <c r="C203" s="43"/>
      <c r="D203" s="44"/>
      <c r="E203" s="44"/>
      <c r="F203" s="44"/>
      <c r="G203" s="45"/>
      <c r="J203" s="130"/>
      <c r="K203" s="130"/>
      <c r="N203" s="131" t="s">
        <v>94</v>
      </c>
      <c r="O203" s="131"/>
      <c r="P203" s="131"/>
      <c r="Q203" s="131"/>
      <c r="R203" s="131"/>
      <c r="S203" s="146">
        <f>Z198</f>
        <v>2.7</v>
      </c>
      <c r="T203" s="146"/>
      <c r="U203" s="146"/>
      <c r="V203" s="133">
        <f>H213+0.5*C198</f>
        <v>1.5</v>
      </c>
      <c r="W203" s="133"/>
      <c r="X203" s="133"/>
      <c r="Y203" s="39" t="s">
        <v>66</v>
      </c>
      <c r="Z203" s="134">
        <f>S203*V203</f>
        <v>4.0500000000000007</v>
      </c>
      <c r="AA203" s="134"/>
      <c r="AB203" s="134"/>
      <c r="AC203" s="134"/>
    </row>
    <row r="204" spans="1:29" ht="15" customHeight="1" x14ac:dyDescent="0.25">
      <c r="C204" s="40"/>
      <c r="D204" s="41"/>
      <c r="E204" s="41"/>
      <c r="F204" s="41"/>
      <c r="G204" s="41"/>
      <c r="H204" s="41"/>
      <c r="I204" s="42"/>
      <c r="J204" s="145">
        <f>$AW$54</f>
        <v>1</v>
      </c>
      <c r="K204" s="130"/>
      <c r="N204" s="131" t="s">
        <v>96</v>
      </c>
      <c r="O204" s="131"/>
      <c r="P204" s="131"/>
      <c r="Q204" s="131"/>
      <c r="R204" s="131"/>
      <c r="S204" s="146">
        <f>Z199</f>
        <v>4.0500000000000007</v>
      </c>
      <c r="T204" s="146"/>
      <c r="U204" s="146"/>
      <c r="V204" s="133">
        <f>K198+0.5*(H198+C198)</f>
        <v>1.25</v>
      </c>
      <c r="W204" s="133"/>
      <c r="X204" s="133"/>
      <c r="Y204" s="39" t="s">
        <v>66</v>
      </c>
      <c r="Z204" s="134">
        <f>S204*V204</f>
        <v>5.0625000000000009</v>
      </c>
      <c r="AA204" s="134"/>
      <c r="AB204" s="134"/>
      <c r="AC204" s="134"/>
    </row>
    <row r="205" spans="1:29" ht="15" customHeight="1" x14ac:dyDescent="0.25">
      <c r="C205" s="43"/>
      <c r="D205" s="44"/>
      <c r="E205" s="44"/>
      <c r="F205" s="44"/>
      <c r="G205" s="44"/>
      <c r="H205" s="44"/>
      <c r="I205" s="45"/>
      <c r="J205" s="145"/>
      <c r="K205" s="130"/>
      <c r="N205" s="131" t="s">
        <v>100</v>
      </c>
      <c r="O205" s="131"/>
      <c r="P205" s="131"/>
      <c r="Q205" s="131"/>
      <c r="R205" s="131"/>
      <c r="S205" s="146">
        <f>Z200</f>
        <v>2.7</v>
      </c>
      <c r="T205" s="146"/>
      <c r="U205" s="146"/>
      <c r="V205" s="133">
        <f>0.5*H213</f>
        <v>0.5</v>
      </c>
      <c r="W205" s="133"/>
      <c r="X205" s="133"/>
      <c r="Y205" s="39" t="s">
        <v>66</v>
      </c>
      <c r="Z205" s="134">
        <f>S205*V205</f>
        <v>1.35</v>
      </c>
      <c r="AA205" s="134"/>
      <c r="AB205" s="134"/>
      <c r="AC205" s="134"/>
    </row>
    <row r="206" spans="1:29" ht="15" customHeight="1" x14ac:dyDescent="0.25">
      <c r="C206" s="43"/>
      <c r="D206" s="44"/>
      <c r="E206" s="44"/>
      <c r="F206" s="44"/>
      <c r="G206" s="44"/>
      <c r="H206" s="44"/>
      <c r="I206" s="45"/>
      <c r="J206" s="145"/>
      <c r="K206" s="130"/>
      <c r="N206" s="131" t="s">
        <v>101</v>
      </c>
      <c r="O206" s="131"/>
      <c r="P206" s="131"/>
      <c r="Q206" s="131"/>
      <c r="R206" s="131"/>
      <c r="S206" s="146">
        <f>Z201</f>
        <v>2.7</v>
      </c>
      <c r="T206" s="146"/>
      <c r="U206" s="146"/>
      <c r="V206" s="133">
        <f>H213+0.5*C213</f>
        <v>1.5</v>
      </c>
      <c r="W206" s="133"/>
      <c r="X206" s="133"/>
      <c r="Y206" s="39" t="s">
        <v>66</v>
      </c>
      <c r="Z206" s="132">
        <f>S206*V206</f>
        <v>4.0500000000000007</v>
      </c>
      <c r="AA206" s="132"/>
      <c r="AB206" s="132"/>
      <c r="AC206" s="132"/>
    </row>
    <row r="207" spans="1:29" ht="15" customHeight="1" x14ac:dyDescent="0.25">
      <c r="C207" s="43"/>
      <c r="D207" s="44"/>
      <c r="E207" s="44"/>
      <c r="F207" s="44"/>
      <c r="G207" s="44"/>
      <c r="H207" s="44"/>
      <c r="I207" s="45"/>
      <c r="J207" s="145"/>
      <c r="K207" s="130"/>
      <c r="M207" s="50" t="s">
        <v>71</v>
      </c>
      <c r="X207" s="142" t="s">
        <v>74</v>
      </c>
      <c r="Y207" s="142"/>
      <c r="Z207" s="148">
        <f>SUM(Z203:AC206)</f>
        <v>14.512500000000001</v>
      </c>
      <c r="AA207" s="148"/>
      <c r="AB207" s="148"/>
      <c r="AC207" s="148"/>
    </row>
    <row r="208" spans="1:29" ht="15" customHeight="1" thickBot="1" x14ac:dyDescent="0.3">
      <c r="C208" s="46"/>
      <c r="D208" s="47"/>
      <c r="E208" s="47"/>
      <c r="F208" s="47"/>
      <c r="G208" s="47"/>
      <c r="H208" s="47"/>
      <c r="I208" s="48"/>
      <c r="J208" s="145"/>
      <c r="K208" s="130"/>
    </row>
    <row r="209" spans="1:29" ht="15" customHeight="1" x14ac:dyDescent="0.25">
      <c r="C209" s="40"/>
      <c r="D209" s="41"/>
      <c r="E209" s="41"/>
      <c r="F209" s="41"/>
      <c r="G209" s="42"/>
      <c r="H209" s="40"/>
      <c r="I209" s="41"/>
      <c r="J209" s="41"/>
      <c r="K209" s="41"/>
      <c r="L209" s="42"/>
      <c r="M209" s="218">
        <f>$AW$58</f>
        <v>1</v>
      </c>
      <c r="N209" s="142" t="s">
        <v>67</v>
      </c>
      <c r="O209" s="142"/>
      <c r="P209" s="142"/>
      <c r="Q209" s="142"/>
      <c r="Y209" s="39" t="s">
        <v>66</v>
      </c>
      <c r="Z209" s="149">
        <f>0.5*Ka*Psuelo*((J200+J204+M209)^2)</f>
        <v>2.7000000000000011</v>
      </c>
      <c r="AA209" s="149"/>
      <c r="AB209" s="149"/>
    </row>
    <row r="210" spans="1:29" ht="15" customHeight="1" x14ac:dyDescent="0.25">
      <c r="C210" s="43"/>
      <c r="D210" s="44"/>
      <c r="E210" s="44"/>
      <c r="F210" s="44"/>
      <c r="G210" s="45"/>
      <c r="H210" s="43"/>
      <c r="I210" s="44"/>
      <c r="J210" s="44"/>
      <c r="K210" s="44"/>
      <c r="L210" s="45"/>
      <c r="M210" s="218"/>
      <c r="N210" s="64"/>
    </row>
    <row r="211" spans="1:29" ht="15" customHeight="1" x14ac:dyDescent="0.25">
      <c r="C211" s="43"/>
      <c r="D211" s="44"/>
      <c r="E211" s="44"/>
      <c r="F211" s="44"/>
      <c r="G211" s="45"/>
      <c r="H211" s="43"/>
      <c r="I211" s="44"/>
      <c r="J211" s="44"/>
      <c r="K211" s="44"/>
      <c r="L211" s="45"/>
      <c r="M211" s="218"/>
      <c r="N211" s="64"/>
      <c r="O211" s="142" t="s">
        <v>68</v>
      </c>
      <c r="P211" s="142"/>
      <c r="Q211" s="142"/>
      <c r="V211" s="39" t="s">
        <v>66</v>
      </c>
      <c r="W211" s="134">
        <f>Z209*(1/3)*(J200+J204+M209)</f>
        <v>2.7000000000000011</v>
      </c>
      <c r="X211" s="134"/>
      <c r="Y211" s="134"/>
      <c r="Z211" s="134"/>
    </row>
    <row r="212" spans="1:29" ht="15" customHeight="1" thickBot="1" x14ac:dyDescent="0.3">
      <c r="C212" s="46"/>
      <c r="D212" s="47"/>
      <c r="E212" s="47"/>
      <c r="F212" s="47"/>
      <c r="G212" s="48"/>
      <c r="H212" s="46"/>
      <c r="I212" s="47"/>
      <c r="J212" s="47"/>
      <c r="K212" s="47"/>
      <c r="L212" s="48"/>
      <c r="M212" s="218"/>
      <c r="N212" s="64"/>
      <c r="O212" s="39"/>
      <c r="P212" s="39"/>
      <c r="Q212" s="39"/>
      <c r="V212" s="39"/>
      <c r="W212" s="60"/>
      <c r="X212" s="60"/>
      <c r="Y212" s="60"/>
      <c r="Z212" s="60"/>
    </row>
    <row r="213" spans="1:29" ht="15" customHeight="1" x14ac:dyDescent="0.25">
      <c r="C213" s="219">
        <f>$AH$71</f>
        <v>1</v>
      </c>
      <c r="D213" s="219"/>
      <c r="E213" s="219"/>
      <c r="F213" s="219"/>
      <c r="G213" s="219"/>
      <c r="H213" s="219">
        <f>$AL$71</f>
        <v>1</v>
      </c>
      <c r="I213" s="219"/>
      <c r="J213" s="219"/>
      <c r="K213" s="219"/>
      <c r="L213" s="219"/>
      <c r="N213" s="64"/>
      <c r="O213" s="39"/>
      <c r="P213" s="39"/>
      <c r="Q213" s="39"/>
      <c r="V213" s="39"/>
      <c r="W213" s="60"/>
      <c r="X213" s="60"/>
      <c r="Y213" s="60"/>
      <c r="Z213" s="60"/>
    </row>
    <row r="214" spans="1:29" ht="15" customHeight="1" x14ac:dyDescent="0.25">
      <c r="C214" s="220"/>
      <c r="D214" s="220"/>
      <c r="E214" s="220"/>
      <c r="F214" s="220"/>
      <c r="G214" s="220"/>
      <c r="H214" s="220"/>
      <c r="I214" s="220"/>
      <c r="J214" s="220"/>
      <c r="K214" s="220"/>
      <c r="L214" s="220"/>
      <c r="N214" s="39"/>
      <c r="O214" s="39"/>
      <c r="P214" s="39"/>
      <c r="Q214" s="39"/>
      <c r="V214" s="39"/>
      <c r="W214" s="60"/>
      <c r="X214" s="60"/>
      <c r="Y214" s="60"/>
      <c r="Z214" s="60"/>
    </row>
    <row r="215" spans="1:29" ht="15" customHeight="1" x14ac:dyDescent="0.25">
      <c r="C215" s="56"/>
      <c r="D215" s="56"/>
      <c r="E215" s="56"/>
      <c r="F215" s="56"/>
      <c r="G215" s="56"/>
      <c r="H215" s="56"/>
      <c r="I215" s="56"/>
      <c r="N215" s="39"/>
      <c r="O215" s="39"/>
      <c r="P215" s="39"/>
      <c r="Q215" s="39"/>
      <c r="V215" s="39"/>
      <c r="W215" s="60"/>
      <c r="X215" s="60"/>
      <c r="Y215" s="60"/>
      <c r="Z215" s="60"/>
    </row>
    <row r="216" spans="1:29" ht="15" customHeight="1" x14ac:dyDescent="0.25">
      <c r="C216" s="56"/>
      <c r="D216" s="56"/>
      <c r="E216" s="56"/>
      <c r="F216" s="56"/>
      <c r="G216" s="56"/>
      <c r="H216" s="56"/>
      <c r="I216" s="56"/>
      <c r="N216" s="39"/>
      <c r="O216" s="39"/>
      <c r="P216" s="39"/>
      <c r="Q216" s="39"/>
      <c r="V216" s="39"/>
      <c r="W216" s="60"/>
      <c r="X216" s="60"/>
      <c r="Y216" s="60"/>
      <c r="Z216" s="60"/>
    </row>
    <row r="217" spans="1:29" ht="15" customHeight="1" x14ac:dyDescent="0.25">
      <c r="E217" s="18"/>
      <c r="F217" s="18"/>
      <c r="G217" s="18"/>
      <c r="H217" s="18"/>
      <c r="I217" s="18"/>
      <c r="J217" s="18"/>
      <c r="K217" s="18"/>
      <c r="N217" s="39"/>
      <c r="O217" s="39"/>
      <c r="P217" s="39"/>
      <c r="Q217" s="39"/>
      <c r="V217" s="39"/>
      <c r="W217" s="60"/>
      <c r="X217" s="60"/>
      <c r="Y217" s="60"/>
      <c r="Z217" s="60"/>
    </row>
    <row r="218" spans="1:29" ht="15" customHeight="1" x14ac:dyDescent="0.25">
      <c r="B218" s="51" t="s">
        <v>72</v>
      </c>
      <c r="K218" s="143" t="s">
        <v>21</v>
      </c>
      <c r="L218" s="143"/>
      <c r="M218" s="62">
        <v>1.5</v>
      </c>
      <c r="N218" s="62"/>
      <c r="P218" s="49"/>
      <c r="R218" s="50" t="s">
        <v>73</v>
      </c>
      <c r="Z218" s="143" t="s">
        <v>22</v>
      </c>
      <c r="AA218" s="143"/>
      <c r="AB218" s="144">
        <v>2</v>
      </c>
      <c r="AC218" s="144"/>
    </row>
    <row r="219" spans="1:29" ht="15" customHeight="1" x14ac:dyDescent="0.25">
      <c r="P219" s="49"/>
    </row>
    <row r="220" spans="1:29" ht="15" customHeight="1" x14ac:dyDescent="0.25">
      <c r="I220" s="142"/>
      <c r="J220" s="142"/>
      <c r="K220" s="147">
        <v>0.5</v>
      </c>
      <c r="L220" s="147"/>
      <c r="P220" s="49"/>
    </row>
    <row r="221" spans="1:29" ht="15" customHeight="1" x14ac:dyDescent="0.25">
      <c r="P221" s="49"/>
    </row>
    <row r="222" spans="1:29" ht="15" customHeight="1" x14ac:dyDescent="0.25">
      <c r="C222" s="125" t="s">
        <v>21</v>
      </c>
      <c r="D222" s="126"/>
      <c r="E222" s="126"/>
      <c r="F222" s="127">
        <f>K220*Z202/Z209</f>
        <v>2.2499999999999996</v>
      </c>
      <c r="G222" s="127"/>
      <c r="H222" s="122" t="str">
        <f>IF(F222&lt;I222,"&lt;","&gt;")</f>
        <v>&gt;</v>
      </c>
      <c r="I222" s="127">
        <f>M218</f>
        <v>1.5</v>
      </c>
      <c r="J222" s="128"/>
      <c r="K222" s="35" t="str">
        <f>IF(H222="&gt;","… Conforme","… No cumple")</f>
        <v>… Conforme</v>
      </c>
      <c r="P222" s="49"/>
      <c r="S222" s="125" t="s">
        <v>22</v>
      </c>
      <c r="T222" s="126"/>
      <c r="U222" s="126"/>
      <c r="V222" s="127">
        <f>Z207/W211</f>
        <v>5.3749999999999982</v>
      </c>
      <c r="W222" s="127"/>
      <c r="X222" s="122" t="str">
        <f>IF(V222&lt;Y222,"&lt;","&gt;")</f>
        <v>&gt;</v>
      </c>
      <c r="Y222" s="127">
        <f>AB218</f>
        <v>2</v>
      </c>
      <c r="Z222" s="128"/>
      <c r="AA222" s="33" t="str">
        <f>IF(X222="&gt;","… Conforme","… No cumple")</f>
        <v>… Conforme</v>
      </c>
    </row>
    <row r="224" spans="1:29" ht="15" customHeight="1" x14ac:dyDescent="0.25">
      <c r="A224" s="24" t="s">
        <v>0</v>
      </c>
      <c r="B224" s="19" t="s">
        <v>102</v>
      </c>
      <c r="Q224" s="36"/>
    </row>
    <row r="225" spans="3:29" ht="15" customHeight="1" x14ac:dyDescent="0.25">
      <c r="N225" s="50" t="s">
        <v>70</v>
      </c>
    </row>
    <row r="226" spans="3:29" ht="15" customHeight="1" x14ac:dyDescent="0.25">
      <c r="C226" s="135">
        <f>$AI$47</f>
        <v>1</v>
      </c>
      <c r="D226" s="135"/>
      <c r="E226" s="135"/>
      <c r="F226" s="135"/>
      <c r="G226" s="135"/>
      <c r="H226" s="135">
        <f>$AK$47</f>
        <v>0.5</v>
      </c>
      <c r="I226" s="135"/>
      <c r="K226" s="135">
        <f>$AM$47</f>
        <v>0.5</v>
      </c>
      <c r="L226" s="135"/>
      <c r="N226" s="222" t="s">
        <v>93</v>
      </c>
      <c r="O226" s="222"/>
      <c r="P226" s="222"/>
      <c r="Q226" s="222"/>
      <c r="R226" s="223">
        <f>C226</f>
        <v>1</v>
      </c>
      <c r="S226" s="223"/>
      <c r="T226" s="224">
        <f>J228</f>
        <v>1</v>
      </c>
      <c r="U226" s="224"/>
      <c r="V226" s="225">
        <f t="shared" ref="V226:V231" si="3">Proca</f>
        <v>2.7</v>
      </c>
      <c r="W226" s="225"/>
      <c r="X226" s="225"/>
      <c r="Y226" s="65" t="s">
        <v>66</v>
      </c>
      <c r="Z226" s="221">
        <f>PRODUCT(R226:X226)</f>
        <v>2.7</v>
      </c>
      <c r="AA226" s="221"/>
      <c r="AB226" s="221"/>
    </row>
    <row r="227" spans="3:29" ht="15" customHeight="1" thickBot="1" x14ac:dyDescent="0.3">
      <c r="C227" s="136"/>
      <c r="D227" s="136"/>
      <c r="E227" s="136"/>
      <c r="F227" s="136"/>
      <c r="G227" s="136"/>
      <c r="H227" s="135"/>
      <c r="I227" s="135"/>
      <c r="K227" s="135"/>
      <c r="L227" s="135"/>
      <c r="N227" s="222" t="s">
        <v>95</v>
      </c>
      <c r="O227" s="222"/>
      <c r="P227" s="222"/>
      <c r="Q227" s="222"/>
      <c r="R227" s="223">
        <f>J232</f>
        <v>1</v>
      </c>
      <c r="S227" s="223"/>
      <c r="T227" s="224">
        <f>C226+H226</f>
        <v>1.5</v>
      </c>
      <c r="U227" s="224"/>
      <c r="V227" s="225">
        <f t="shared" si="3"/>
        <v>2.7</v>
      </c>
      <c r="W227" s="225"/>
      <c r="X227" s="225"/>
      <c r="Y227" s="65" t="s">
        <v>66</v>
      </c>
      <c r="Z227" s="221">
        <f>PRODUCT(R227:X227)</f>
        <v>4.0500000000000007</v>
      </c>
      <c r="AA227" s="221"/>
      <c r="AB227" s="221"/>
    </row>
    <row r="228" spans="3:29" ht="15" customHeight="1" x14ac:dyDescent="0.25">
      <c r="C228" s="40"/>
      <c r="D228" s="41"/>
      <c r="E228" s="41"/>
      <c r="F228" s="41"/>
      <c r="G228" s="42"/>
      <c r="J228" s="130">
        <f>$AW$50</f>
        <v>1</v>
      </c>
      <c r="K228" s="130"/>
      <c r="N228" s="222" t="s">
        <v>98</v>
      </c>
      <c r="O228" s="222"/>
      <c r="P228" s="222"/>
      <c r="Q228" s="222"/>
      <c r="R228" s="223">
        <f>M237</f>
        <v>1</v>
      </c>
      <c r="S228" s="223"/>
      <c r="T228" s="224">
        <f>K226+H226</f>
        <v>1</v>
      </c>
      <c r="U228" s="224"/>
      <c r="V228" s="225">
        <f t="shared" si="3"/>
        <v>2.7</v>
      </c>
      <c r="W228" s="225"/>
      <c r="X228" s="225"/>
      <c r="Y228" s="65" t="s">
        <v>66</v>
      </c>
      <c r="Z228" s="221">
        <f>PRODUCT(R228:X228)</f>
        <v>2.7</v>
      </c>
      <c r="AA228" s="221"/>
      <c r="AB228" s="221"/>
    </row>
    <row r="229" spans="3:29" ht="15" customHeight="1" x14ac:dyDescent="0.25">
      <c r="C229" s="43"/>
      <c r="D229" s="44"/>
      <c r="E229" s="44"/>
      <c r="F229" s="44"/>
      <c r="G229" s="45"/>
      <c r="J229" s="130"/>
      <c r="K229" s="130"/>
      <c r="N229" s="222" t="s">
        <v>99</v>
      </c>
      <c r="O229" s="222"/>
      <c r="P229" s="222"/>
      <c r="Q229" s="222"/>
      <c r="R229" s="223">
        <f>M237</f>
        <v>1</v>
      </c>
      <c r="S229" s="223"/>
      <c r="T229" s="224">
        <f>C226</f>
        <v>1</v>
      </c>
      <c r="U229" s="224"/>
      <c r="V229" s="225">
        <f t="shared" si="3"/>
        <v>2.7</v>
      </c>
      <c r="W229" s="225"/>
      <c r="X229" s="225"/>
      <c r="Y229" s="65" t="s">
        <v>66</v>
      </c>
      <c r="Z229" s="221">
        <f>PRODUCT(R229:X229)</f>
        <v>2.7</v>
      </c>
      <c r="AA229" s="221"/>
      <c r="AB229" s="221"/>
    </row>
    <row r="230" spans="3:29" ht="15" customHeight="1" x14ac:dyDescent="0.25">
      <c r="C230" s="43"/>
      <c r="D230" s="44"/>
      <c r="E230" s="44"/>
      <c r="F230" s="44"/>
      <c r="G230" s="45"/>
      <c r="J230" s="130"/>
      <c r="K230" s="130"/>
      <c r="N230" s="222" t="s">
        <v>103</v>
      </c>
      <c r="O230" s="222"/>
      <c r="P230" s="222"/>
      <c r="Q230" s="222"/>
      <c r="R230" s="223">
        <f>O241</f>
        <v>1</v>
      </c>
      <c r="S230" s="223"/>
      <c r="T230" s="224">
        <f>J246</f>
        <v>1</v>
      </c>
      <c r="U230" s="224"/>
      <c r="V230" s="225">
        <f t="shared" si="3"/>
        <v>2.7</v>
      </c>
      <c r="W230" s="225"/>
      <c r="X230" s="225"/>
      <c r="Y230" s="65" t="s">
        <v>66</v>
      </c>
      <c r="Z230" s="221">
        <f t="shared" ref="Z230:Z231" si="4">PRODUCT(R230:X230)</f>
        <v>2.7</v>
      </c>
      <c r="AA230" s="221"/>
      <c r="AB230" s="221"/>
    </row>
    <row r="231" spans="3:29" ht="15" customHeight="1" thickBot="1" x14ac:dyDescent="0.3">
      <c r="C231" s="43"/>
      <c r="D231" s="44"/>
      <c r="E231" s="44"/>
      <c r="F231" s="44"/>
      <c r="G231" s="45"/>
      <c r="J231" s="130"/>
      <c r="K231" s="130"/>
      <c r="N231" s="222" t="s">
        <v>104</v>
      </c>
      <c r="O231" s="222"/>
      <c r="P231" s="222"/>
      <c r="Q231" s="222"/>
      <c r="R231" s="223">
        <f>O241</f>
        <v>1</v>
      </c>
      <c r="S231" s="223"/>
      <c r="T231" s="224">
        <f>C246</f>
        <v>1.5</v>
      </c>
      <c r="U231" s="224"/>
      <c r="V231" s="225">
        <f t="shared" si="3"/>
        <v>2.7</v>
      </c>
      <c r="W231" s="225"/>
      <c r="X231" s="225"/>
      <c r="Y231" s="65" t="s">
        <v>66</v>
      </c>
      <c r="Z231" s="229">
        <f t="shared" si="4"/>
        <v>4.0500000000000007</v>
      </c>
      <c r="AA231" s="229"/>
      <c r="AB231" s="229"/>
      <c r="AC231" s="63"/>
    </row>
    <row r="232" spans="3:29" ht="15" customHeight="1" x14ac:dyDescent="0.25">
      <c r="C232" s="40"/>
      <c r="D232" s="41"/>
      <c r="E232" s="41"/>
      <c r="F232" s="41"/>
      <c r="G232" s="41"/>
      <c r="H232" s="41"/>
      <c r="I232" s="42"/>
      <c r="J232" s="145">
        <f>$AW$54</f>
        <v>1</v>
      </c>
      <c r="K232" s="130"/>
      <c r="X232" s="142" t="s">
        <v>74</v>
      </c>
      <c r="Y232" s="142"/>
      <c r="Z232" s="129">
        <f>SUM(Z226:AB231)</f>
        <v>18.900000000000002</v>
      </c>
      <c r="AA232" s="129"/>
      <c r="AB232" s="129"/>
      <c r="AC232" s="129"/>
    </row>
    <row r="233" spans="3:29" ht="15" customHeight="1" x14ac:dyDescent="0.25">
      <c r="C233" s="43"/>
      <c r="D233" s="44"/>
      <c r="E233" s="44"/>
      <c r="F233" s="44"/>
      <c r="G233" s="44"/>
      <c r="H233" s="44"/>
      <c r="I233" s="45"/>
      <c r="J233" s="145"/>
      <c r="K233" s="130"/>
      <c r="X233" s="39"/>
      <c r="Y233" s="39"/>
      <c r="Z233" s="63"/>
      <c r="AA233" s="63"/>
      <c r="AB233" s="63"/>
      <c r="AC233" s="63"/>
    </row>
    <row r="234" spans="3:29" ht="15" customHeight="1" x14ac:dyDescent="0.25">
      <c r="C234" s="43"/>
      <c r="D234" s="44"/>
      <c r="E234" s="44"/>
      <c r="F234" s="44"/>
      <c r="G234" s="44"/>
      <c r="H234" s="44"/>
      <c r="I234" s="45"/>
      <c r="J234" s="145"/>
      <c r="K234" s="130"/>
      <c r="N234" s="222" t="s">
        <v>94</v>
      </c>
      <c r="O234" s="222"/>
      <c r="P234" s="222"/>
      <c r="Q234" s="222"/>
      <c r="R234" s="222"/>
      <c r="S234" s="226">
        <f>Z226</f>
        <v>2.7</v>
      </c>
      <c r="T234" s="226"/>
      <c r="U234" s="226"/>
      <c r="V234" s="227">
        <f>J246+H226+0.5*C226</f>
        <v>2</v>
      </c>
      <c r="W234" s="227"/>
      <c r="X234" s="227"/>
      <c r="Y234" s="65" t="s">
        <v>66</v>
      </c>
      <c r="Z234" s="230">
        <f>S234*V234</f>
        <v>5.4</v>
      </c>
      <c r="AA234" s="230"/>
      <c r="AB234" s="230"/>
      <c r="AC234" s="230"/>
    </row>
    <row r="235" spans="3:29" ht="15" customHeight="1" x14ac:dyDescent="0.25">
      <c r="C235" s="43"/>
      <c r="D235" s="44"/>
      <c r="E235" s="44"/>
      <c r="F235" s="44"/>
      <c r="G235" s="44"/>
      <c r="H235" s="44"/>
      <c r="I235" s="45"/>
      <c r="J235" s="145"/>
      <c r="K235" s="130"/>
      <c r="N235" s="222" t="s">
        <v>96</v>
      </c>
      <c r="O235" s="222"/>
      <c r="P235" s="222"/>
      <c r="Q235" s="222"/>
      <c r="R235" s="222"/>
      <c r="S235" s="226">
        <f>Z227</f>
        <v>4.0500000000000007</v>
      </c>
      <c r="T235" s="226"/>
      <c r="U235" s="226"/>
      <c r="V235" s="227">
        <f>J246+0.5*C246</f>
        <v>1.75</v>
      </c>
      <c r="W235" s="227"/>
      <c r="X235" s="227"/>
      <c r="Y235" s="65" t="s">
        <v>66</v>
      </c>
      <c r="Z235" s="230">
        <f>S235*V235</f>
        <v>7.0875000000000012</v>
      </c>
      <c r="AA235" s="230"/>
      <c r="AB235" s="230"/>
      <c r="AC235" s="230"/>
    </row>
    <row r="236" spans="3:29" ht="15" customHeight="1" thickBot="1" x14ac:dyDescent="0.3">
      <c r="C236" s="46"/>
      <c r="D236" s="47"/>
      <c r="E236" s="47"/>
      <c r="F236" s="47"/>
      <c r="G236" s="47"/>
      <c r="H236" s="47"/>
      <c r="I236" s="48"/>
      <c r="J236" s="145"/>
      <c r="K236" s="130"/>
      <c r="N236" s="222" t="s">
        <v>100</v>
      </c>
      <c r="O236" s="222"/>
      <c r="P236" s="222"/>
      <c r="Q236" s="222"/>
      <c r="R236" s="222"/>
      <c r="S236" s="226">
        <f>Z228</f>
        <v>2.7</v>
      </c>
      <c r="T236" s="226"/>
      <c r="U236" s="226"/>
      <c r="V236" s="227">
        <f>0.5+0.5*(K226+H226)</f>
        <v>1</v>
      </c>
      <c r="W236" s="227"/>
      <c r="X236" s="227"/>
      <c r="Y236" s="65" t="s">
        <v>66</v>
      </c>
      <c r="Z236" s="230">
        <f>S236*V236</f>
        <v>2.7</v>
      </c>
      <c r="AA236" s="230"/>
      <c r="AB236" s="230"/>
      <c r="AC236" s="230"/>
    </row>
    <row r="237" spans="3:29" ht="15" customHeight="1" x14ac:dyDescent="0.25">
      <c r="C237" s="40"/>
      <c r="D237" s="41"/>
      <c r="E237" s="41"/>
      <c r="F237" s="41"/>
      <c r="G237" s="42"/>
      <c r="H237" s="40"/>
      <c r="I237" s="41"/>
      <c r="J237" s="41"/>
      <c r="K237" s="41"/>
      <c r="L237" s="42"/>
      <c r="M237" s="218">
        <f>$AW$58</f>
        <v>1</v>
      </c>
      <c r="N237" s="222" t="s">
        <v>101</v>
      </c>
      <c r="O237" s="222"/>
      <c r="P237" s="222"/>
      <c r="Q237" s="222"/>
      <c r="R237" s="222"/>
      <c r="S237" s="226">
        <f>Z229</f>
        <v>2.7</v>
      </c>
      <c r="T237" s="226"/>
      <c r="U237" s="226"/>
      <c r="V237" s="227">
        <f>J246+H226+0.5*C226</f>
        <v>2</v>
      </c>
      <c r="W237" s="227"/>
      <c r="X237" s="227"/>
      <c r="Y237" s="65" t="s">
        <v>66</v>
      </c>
      <c r="Z237" s="230">
        <f>S237*V237</f>
        <v>5.4</v>
      </c>
      <c r="AA237" s="230"/>
      <c r="AB237" s="230"/>
      <c r="AC237" s="230"/>
    </row>
    <row r="238" spans="3:29" ht="15" customHeight="1" x14ac:dyDescent="0.25">
      <c r="C238" s="43"/>
      <c r="D238" s="44"/>
      <c r="E238" s="44"/>
      <c r="F238" s="44"/>
      <c r="G238" s="45"/>
      <c r="H238" s="43"/>
      <c r="I238" s="44"/>
      <c r="J238" s="44"/>
      <c r="K238" s="44"/>
      <c r="L238" s="45"/>
      <c r="M238" s="218"/>
      <c r="N238" s="222" t="s">
        <v>105</v>
      </c>
      <c r="O238" s="222"/>
      <c r="P238" s="222"/>
      <c r="Q238" s="222"/>
      <c r="R238" s="222"/>
      <c r="S238" s="226">
        <f t="shared" ref="S238:S239" si="5">Z230</f>
        <v>2.7</v>
      </c>
      <c r="T238" s="226"/>
      <c r="U238" s="226"/>
      <c r="V238" s="227">
        <f>0.5*J246</f>
        <v>0.5</v>
      </c>
      <c r="W238" s="227"/>
      <c r="X238" s="227"/>
      <c r="Y238" s="65" t="s">
        <v>66</v>
      </c>
      <c r="Z238" s="230">
        <f t="shared" ref="Z238:Z239" si="6">S238*V238</f>
        <v>1.35</v>
      </c>
      <c r="AA238" s="230"/>
      <c r="AB238" s="230"/>
      <c r="AC238" s="230"/>
    </row>
    <row r="239" spans="3:29" ht="15" customHeight="1" x14ac:dyDescent="0.25">
      <c r="C239" s="43"/>
      <c r="D239" s="44"/>
      <c r="E239" s="44"/>
      <c r="F239" s="44"/>
      <c r="G239" s="45"/>
      <c r="H239" s="43"/>
      <c r="I239" s="44"/>
      <c r="J239" s="44"/>
      <c r="K239" s="44"/>
      <c r="L239" s="45"/>
      <c r="M239" s="218"/>
      <c r="N239" s="222" t="s">
        <v>106</v>
      </c>
      <c r="O239" s="222"/>
      <c r="P239" s="222"/>
      <c r="Q239" s="222"/>
      <c r="R239" s="222"/>
      <c r="S239" s="226">
        <f t="shared" si="5"/>
        <v>4.0500000000000007</v>
      </c>
      <c r="T239" s="226"/>
      <c r="U239" s="226"/>
      <c r="V239" s="227">
        <f>J246+0.5*C246</f>
        <v>1.75</v>
      </c>
      <c r="W239" s="227"/>
      <c r="X239" s="227"/>
      <c r="Y239" s="65" t="s">
        <v>66</v>
      </c>
      <c r="Z239" s="228">
        <f t="shared" si="6"/>
        <v>7.0875000000000012</v>
      </c>
      <c r="AA239" s="228"/>
      <c r="AB239" s="228"/>
      <c r="AC239" s="228"/>
    </row>
    <row r="240" spans="3:29" ht="15" customHeight="1" thickBot="1" x14ac:dyDescent="0.3">
      <c r="C240" s="46"/>
      <c r="D240" s="47"/>
      <c r="E240" s="47"/>
      <c r="F240" s="47"/>
      <c r="G240" s="48"/>
      <c r="H240" s="46"/>
      <c r="I240" s="47"/>
      <c r="J240" s="44"/>
      <c r="K240" s="44"/>
      <c r="L240" s="45"/>
      <c r="M240" s="218"/>
      <c r="X240" s="142" t="s">
        <v>74</v>
      </c>
      <c r="Y240" s="142"/>
      <c r="Z240" s="148">
        <f>SUM(Z234:AC239)</f>
        <v>29.025000000000002</v>
      </c>
      <c r="AA240" s="148"/>
      <c r="AB240" s="148"/>
      <c r="AC240" s="148"/>
    </row>
    <row r="241" spans="2:30" ht="15" customHeight="1" x14ac:dyDescent="0.25">
      <c r="C241" s="40"/>
      <c r="D241" s="41"/>
      <c r="E241" s="41"/>
      <c r="F241" s="41"/>
      <c r="G241" s="41"/>
      <c r="H241" s="41"/>
      <c r="I241" s="41"/>
      <c r="J241" s="40"/>
      <c r="K241" s="41"/>
      <c r="L241" s="41"/>
      <c r="M241" s="41"/>
      <c r="N241" s="42"/>
      <c r="O241" s="218">
        <f>AW62</f>
        <v>1</v>
      </c>
      <c r="X241" s="39"/>
      <c r="Y241" s="39"/>
      <c r="Z241" s="61"/>
      <c r="AA241" s="61"/>
      <c r="AB241" s="61"/>
      <c r="AC241" s="61"/>
    </row>
    <row r="242" spans="2:30" ht="15" customHeight="1" x14ac:dyDescent="0.25">
      <c r="C242" s="43"/>
      <c r="D242" s="44"/>
      <c r="E242" s="44"/>
      <c r="F242" s="44"/>
      <c r="G242" s="44"/>
      <c r="H242" s="44"/>
      <c r="I242" s="44"/>
      <c r="J242" s="43"/>
      <c r="K242" s="44"/>
      <c r="L242" s="44"/>
      <c r="M242" s="44"/>
      <c r="N242" s="45"/>
      <c r="O242" s="218"/>
      <c r="Q242" s="50" t="s">
        <v>71</v>
      </c>
    </row>
    <row r="243" spans="2:30" ht="15" customHeight="1" x14ac:dyDescent="0.25">
      <c r="C243" s="43"/>
      <c r="D243" s="44"/>
      <c r="E243" s="44"/>
      <c r="F243" s="44"/>
      <c r="G243" s="44"/>
      <c r="H243" s="44"/>
      <c r="I243" s="44"/>
      <c r="J243" s="43"/>
      <c r="K243" s="44"/>
      <c r="L243" s="44"/>
      <c r="M243" s="44"/>
      <c r="N243" s="45"/>
      <c r="O243" s="218"/>
      <c r="P243" s="142" t="s">
        <v>67</v>
      </c>
      <c r="Q243" s="142"/>
      <c r="R243" s="142"/>
      <c r="S243" s="142"/>
      <c r="AA243" s="39" t="s">
        <v>66</v>
      </c>
      <c r="AB243" s="149">
        <f>0.5*Ka*Psuelo*((J228+J232+M237+O241)^2)</f>
        <v>4.8000000000000016</v>
      </c>
      <c r="AC243" s="149"/>
      <c r="AD243" s="149"/>
    </row>
    <row r="244" spans="2:30" ht="15" customHeight="1" x14ac:dyDescent="0.25">
      <c r="C244" s="43"/>
      <c r="D244" s="44"/>
      <c r="E244" s="44"/>
      <c r="F244" s="44"/>
      <c r="G244" s="44"/>
      <c r="H244" s="44"/>
      <c r="I244" s="44"/>
      <c r="J244" s="43"/>
      <c r="K244" s="44"/>
      <c r="L244" s="44"/>
      <c r="M244" s="44"/>
      <c r="N244" s="45"/>
      <c r="O244" s="218"/>
      <c r="P244" s="64"/>
    </row>
    <row r="245" spans="2:30" ht="15" customHeight="1" thickBot="1" x14ac:dyDescent="0.25">
      <c r="C245" s="46"/>
      <c r="D245" s="47"/>
      <c r="E245" s="47"/>
      <c r="F245" s="47"/>
      <c r="G245" s="47"/>
      <c r="H245" s="47"/>
      <c r="I245" s="47"/>
      <c r="J245" s="79"/>
      <c r="K245" s="80"/>
      <c r="L245" s="80"/>
      <c r="M245" s="80"/>
      <c r="N245" s="81"/>
      <c r="O245" s="78"/>
      <c r="P245" s="64"/>
      <c r="Q245" s="142" t="s">
        <v>68</v>
      </c>
      <c r="R245" s="142"/>
      <c r="S245" s="142"/>
      <c r="X245" s="39" t="s">
        <v>66</v>
      </c>
      <c r="Y245" s="134">
        <f>AB243*(1/3)*(J228+J232+M237+O241)</f>
        <v>6.4000000000000021</v>
      </c>
      <c r="Z245" s="134"/>
      <c r="AA245" s="134"/>
      <c r="AB245" s="134"/>
    </row>
    <row r="246" spans="2:30" ht="15" customHeight="1" x14ac:dyDescent="0.25">
      <c r="C246" s="219">
        <f>AI47+AK47</f>
        <v>1.5</v>
      </c>
      <c r="D246" s="219"/>
      <c r="E246" s="219"/>
      <c r="F246" s="219"/>
      <c r="G246" s="219"/>
      <c r="H246" s="219"/>
      <c r="I246" s="219"/>
      <c r="J246" s="219">
        <f>AM47+AO47</f>
        <v>1</v>
      </c>
      <c r="K246" s="219"/>
      <c r="L246" s="219"/>
      <c r="M246" s="219"/>
      <c r="N246" s="219"/>
      <c r="P246" s="64"/>
      <c r="Q246" s="39"/>
      <c r="R246" s="39"/>
      <c r="S246" s="39"/>
      <c r="X246" s="39"/>
      <c r="Y246" s="60"/>
      <c r="Z246" s="60"/>
      <c r="AA246" s="60"/>
      <c r="AB246" s="60"/>
    </row>
    <row r="247" spans="2:30" ht="15" customHeight="1" x14ac:dyDescent="0.25">
      <c r="C247" s="220"/>
      <c r="D247" s="220"/>
      <c r="E247" s="220"/>
      <c r="F247" s="220"/>
      <c r="G247" s="220"/>
      <c r="H247" s="220"/>
      <c r="I247" s="220"/>
      <c r="J247" s="220"/>
      <c r="K247" s="220"/>
      <c r="L247" s="220"/>
      <c r="M247" s="220"/>
      <c r="N247" s="220"/>
      <c r="O247" s="39"/>
      <c r="P247" s="39"/>
      <c r="Q247" s="39"/>
      <c r="V247" s="39"/>
      <c r="W247" s="60"/>
      <c r="X247" s="60"/>
      <c r="Y247" s="60"/>
      <c r="Z247" s="60"/>
    </row>
    <row r="248" spans="2:30" ht="15" customHeight="1" x14ac:dyDescent="0.2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N248" s="64"/>
      <c r="O248" s="39"/>
      <c r="P248" s="39"/>
      <c r="Q248" s="39"/>
      <c r="V248" s="39"/>
      <c r="W248" s="60"/>
      <c r="X248" s="60"/>
      <c r="Y248" s="60"/>
      <c r="Z248" s="60"/>
    </row>
    <row r="249" spans="2:30" ht="15" customHeight="1" x14ac:dyDescent="0.25">
      <c r="C249" s="56"/>
      <c r="D249" s="56"/>
      <c r="E249" s="56"/>
      <c r="F249" s="56"/>
      <c r="G249" s="56"/>
      <c r="H249" s="56"/>
      <c r="I249" s="56"/>
      <c r="N249" s="64"/>
      <c r="O249" s="39"/>
      <c r="P249" s="39"/>
      <c r="Q249" s="39"/>
      <c r="V249" s="39"/>
      <c r="W249" s="60"/>
      <c r="X249" s="60"/>
      <c r="Y249" s="60"/>
      <c r="Z249" s="60"/>
    </row>
    <row r="250" spans="2:30" ht="15" customHeight="1" x14ac:dyDescent="0.25">
      <c r="C250" s="56"/>
      <c r="D250" s="56"/>
      <c r="E250" s="56"/>
      <c r="F250" s="56"/>
      <c r="G250" s="56"/>
      <c r="H250" s="56"/>
      <c r="I250" s="56"/>
      <c r="N250" s="64"/>
      <c r="O250" s="39"/>
      <c r="P250" s="39"/>
      <c r="Q250" s="39"/>
      <c r="V250" s="39"/>
      <c r="W250" s="60"/>
      <c r="X250" s="60"/>
      <c r="Y250" s="60"/>
      <c r="Z250" s="60"/>
    </row>
    <row r="251" spans="2:30" ht="15" customHeight="1" x14ac:dyDescent="0.25">
      <c r="E251" s="18"/>
      <c r="F251" s="18"/>
      <c r="G251" s="18"/>
      <c r="H251" s="18"/>
      <c r="I251" s="18"/>
      <c r="J251" s="18"/>
      <c r="K251" s="18"/>
      <c r="N251" s="64"/>
      <c r="O251" s="39"/>
      <c r="P251" s="39"/>
      <c r="Q251" s="39"/>
      <c r="V251" s="39"/>
      <c r="W251" s="60"/>
      <c r="X251" s="60"/>
      <c r="Y251" s="60"/>
      <c r="Z251" s="60"/>
    </row>
    <row r="252" spans="2:30" ht="15" customHeight="1" x14ac:dyDescent="0.25">
      <c r="B252" s="51" t="s">
        <v>72</v>
      </c>
      <c r="K252" s="143" t="s">
        <v>21</v>
      </c>
      <c r="L252" s="143"/>
      <c r="M252" s="62">
        <v>1.5</v>
      </c>
      <c r="N252" s="64"/>
      <c r="O252" s="39"/>
      <c r="P252" s="82"/>
      <c r="R252" s="50" t="s">
        <v>73</v>
      </c>
      <c r="Z252" s="143" t="s">
        <v>22</v>
      </c>
      <c r="AA252" s="143"/>
      <c r="AB252" s="144">
        <v>2</v>
      </c>
      <c r="AC252" s="144"/>
    </row>
    <row r="253" spans="2:30" ht="15" customHeight="1" x14ac:dyDescent="0.25">
      <c r="N253" s="64"/>
      <c r="O253" s="39"/>
      <c r="P253" s="82"/>
    </row>
    <row r="254" spans="2:30" ht="15" customHeight="1" x14ac:dyDescent="0.25">
      <c r="I254" s="142"/>
      <c r="J254" s="142"/>
      <c r="K254" s="147">
        <v>0.5</v>
      </c>
      <c r="L254" s="147"/>
      <c r="N254" s="39"/>
      <c r="O254" s="39"/>
      <c r="P254" s="82"/>
    </row>
    <row r="255" spans="2:30" ht="15" customHeight="1" x14ac:dyDescent="0.25">
      <c r="N255" s="39"/>
      <c r="O255" s="39"/>
      <c r="P255" s="82"/>
    </row>
    <row r="256" spans="2:30" ht="15" customHeight="1" x14ac:dyDescent="0.25">
      <c r="C256" s="125" t="s">
        <v>21</v>
      </c>
      <c r="D256" s="126"/>
      <c r="E256" s="126"/>
      <c r="F256" s="127">
        <f>K254*Z232/AB243</f>
        <v>1.9687499999999996</v>
      </c>
      <c r="G256" s="127"/>
      <c r="H256" s="122" t="str">
        <f>IF(F256&lt;I256,"&lt;","&gt;")</f>
        <v>&gt;</v>
      </c>
      <c r="I256" s="127">
        <f>M252</f>
        <v>1.5</v>
      </c>
      <c r="J256" s="128"/>
      <c r="K256" s="35" t="str">
        <f>IF(H256="&gt;","… Conforme","… No cumple")</f>
        <v>… Conforme</v>
      </c>
      <c r="N256" s="39"/>
      <c r="O256" s="39"/>
      <c r="P256" s="82"/>
      <c r="S256" s="125" t="s">
        <v>22</v>
      </c>
      <c r="T256" s="126"/>
      <c r="U256" s="126"/>
      <c r="V256" s="127">
        <f>Z240/Y245</f>
        <v>4.5351562499999991</v>
      </c>
      <c r="W256" s="127"/>
      <c r="X256" s="122" t="str">
        <f>IF(V256&lt;Y256,"&lt;","&gt;")</f>
        <v>&gt;</v>
      </c>
      <c r="Y256" s="127">
        <f>AB252</f>
        <v>2</v>
      </c>
      <c r="Z256" s="128"/>
      <c r="AA256" s="33" t="str">
        <f>IF(X256="&gt;","… Conforme","… No cumple")</f>
        <v>… Conforme</v>
      </c>
    </row>
    <row r="257" spans="14:16" ht="15" customHeight="1" x14ac:dyDescent="0.25">
      <c r="N257" s="39"/>
      <c r="O257" s="39"/>
      <c r="P257" s="39"/>
    </row>
    <row r="258" spans="14:16" ht="15" customHeight="1" x14ac:dyDescent="0.25">
      <c r="N258" s="62"/>
    </row>
  </sheetData>
  <mergeCells count="349">
    <mergeCell ref="J232:K236"/>
    <mergeCell ref="N235:R235"/>
    <mergeCell ref="T231:U231"/>
    <mergeCell ref="V231:X231"/>
    <mergeCell ref="Z231:AB231"/>
    <mergeCell ref="N238:R238"/>
    <mergeCell ref="S238:U238"/>
    <mergeCell ref="V238:X238"/>
    <mergeCell ref="Z238:AC238"/>
    <mergeCell ref="X232:Y232"/>
    <mergeCell ref="Z232:AC232"/>
    <mergeCell ref="N234:R234"/>
    <mergeCell ref="S234:U234"/>
    <mergeCell ref="V234:X234"/>
    <mergeCell ref="Z234:AC234"/>
    <mergeCell ref="S235:U235"/>
    <mergeCell ref="V235:X235"/>
    <mergeCell ref="Z235:AC235"/>
    <mergeCell ref="N236:R236"/>
    <mergeCell ref="S236:U236"/>
    <mergeCell ref="V236:X236"/>
    <mergeCell ref="Z236:AC236"/>
    <mergeCell ref="Z237:AC237"/>
    <mergeCell ref="J228:K231"/>
    <mergeCell ref="I254:J254"/>
    <mergeCell ref="K254:L254"/>
    <mergeCell ref="C256:E256"/>
    <mergeCell ref="F256:G256"/>
    <mergeCell ref="I256:J256"/>
    <mergeCell ref="S256:U256"/>
    <mergeCell ref="V256:W256"/>
    <mergeCell ref="Y256:Z256"/>
    <mergeCell ref="M237:M240"/>
    <mergeCell ref="P243:S243"/>
    <mergeCell ref="Q245:S245"/>
    <mergeCell ref="Y245:AB245"/>
    <mergeCell ref="K252:L252"/>
    <mergeCell ref="Z252:AA252"/>
    <mergeCell ref="AB252:AC252"/>
    <mergeCell ref="X240:Y240"/>
    <mergeCell ref="Z240:AC240"/>
    <mergeCell ref="C246:I247"/>
    <mergeCell ref="J246:N247"/>
    <mergeCell ref="O241:O244"/>
    <mergeCell ref="AB243:AD243"/>
    <mergeCell ref="N237:R237"/>
    <mergeCell ref="S237:U237"/>
    <mergeCell ref="V237:X237"/>
    <mergeCell ref="N239:R239"/>
    <mergeCell ref="S239:U239"/>
    <mergeCell ref="V239:X239"/>
    <mergeCell ref="Z239:AC239"/>
    <mergeCell ref="Z226:AB226"/>
    <mergeCell ref="N227:Q227"/>
    <mergeCell ref="R227:S227"/>
    <mergeCell ref="T227:U227"/>
    <mergeCell ref="V227:X227"/>
    <mergeCell ref="Z227:AB227"/>
    <mergeCell ref="N228:Q228"/>
    <mergeCell ref="R228:S228"/>
    <mergeCell ref="T228:U228"/>
    <mergeCell ref="V228:X228"/>
    <mergeCell ref="Z228:AB228"/>
    <mergeCell ref="N229:Q229"/>
    <mergeCell ref="R229:S229"/>
    <mergeCell ref="T229:U229"/>
    <mergeCell ref="V229:X229"/>
    <mergeCell ref="Z229:AB229"/>
    <mergeCell ref="N230:Q230"/>
    <mergeCell ref="R230:S230"/>
    <mergeCell ref="T230:U230"/>
    <mergeCell ref="V230:X230"/>
    <mergeCell ref="Z230:AB230"/>
    <mergeCell ref="N231:Q231"/>
    <mergeCell ref="R231:S231"/>
    <mergeCell ref="C226:G227"/>
    <mergeCell ref="H226:I227"/>
    <mergeCell ref="K226:L227"/>
    <mergeCell ref="N226:Q226"/>
    <mergeCell ref="R226:S226"/>
    <mergeCell ref="T226:U226"/>
    <mergeCell ref="V226:X226"/>
    <mergeCell ref="N209:Q209"/>
    <mergeCell ref="S206:U206"/>
    <mergeCell ref="V206:X206"/>
    <mergeCell ref="C222:E222"/>
    <mergeCell ref="K220:L220"/>
    <mergeCell ref="I220:J220"/>
    <mergeCell ref="AB218:AC218"/>
    <mergeCell ref="Z218:AA218"/>
    <mergeCell ref="K218:L218"/>
    <mergeCell ref="M209:M212"/>
    <mergeCell ref="Y222:Z222"/>
    <mergeCell ref="V222:W222"/>
    <mergeCell ref="S222:U222"/>
    <mergeCell ref="I222:J222"/>
    <mergeCell ref="F222:G222"/>
    <mergeCell ref="J204:K208"/>
    <mergeCell ref="C213:G214"/>
    <mergeCell ref="H213:L214"/>
    <mergeCell ref="L8:M8"/>
    <mergeCell ref="N8:Q8"/>
    <mergeCell ref="L9:M9"/>
    <mergeCell ref="N9:Q9"/>
    <mergeCell ref="A1:AD2"/>
    <mergeCell ref="L5:M5"/>
    <mergeCell ref="N5:Q5"/>
    <mergeCell ref="L6:M6"/>
    <mergeCell ref="N6:Q6"/>
    <mergeCell ref="L7:M7"/>
    <mergeCell ref="N7:Q7"/>
    <mergeCell ref="X22:Y22"/>
    <mergeCell ref="Z22:AB22"/>
    <mergeCell ref="X23:Y23"/>
    <mergeCell ref="Z23:AB23"/>
    <mergeCell ref="X16:Y16"/>
    <mergeCell ref="Z16:AB16"/>
    <mergeCell ref="X17:Y17"/>
    <mergeCell ref="Z17:AB17"/>
    <mergeCell ref="X18:Y18"/>
    <mergeCell ref="Z18:AB18"/>
    <mergeCell ref="B38:C38"/>
    <mergeCell ref="D38:G38"/>
    <mergeCell ref="C44:D44"/>
    <mergeCell ref="E44:H44"/>
    <mergeCell ref="F48:I48"/>
    <mergeCell ref="C54:D55"/>
    <mergeCell ref="E54:H55"/>
    <mergeCell ref="I54:K55"/>
    <mergeCell ref="X56:AA56"/>
    <mergeCell ref="C57:D57"/>
    <mergeCell ref="E57:H57"/>
    <mergeCell ref="I57:K57"/>
    <mergeCell ref="L57:O57"/>
    <mergeCell ref="P57:S57"/>
    <mergeCell ref="T57:W57"/>
    <mergeCell ref="X57:AA57"/>
    <mergeCell ref="L54:O55"/>
    <mergeCell ref="P54:S55"/>
    <mergeCell ref="T54:W55"/>
    <mergeCell ref="X54:AA55"/>
    <mergeCell ref="C56:D56"/>
    <mergeCell ref="E56:H56"/>
    <mergeCell ref="I56:K56"/>
    <mergeCell ref="L56:O56"/>
    <mergeCell ref="P56:S56"/>
    <mergeCell ref="T56:W56"/>
    <mergeCell ref="X58:AA58"/>
    <mergeCell ref="C59:D59"/>
    <mergeCell ref="E59:H59"/>
    <mergeCell ref="I59:K59"/>
    <mergeCell ref="L59:O59"/>
    <mergeCell ref="P59:S59"/>
    <mergeCell ref="T59:W59"/>
    <mergeCell ref="X59:AA59"/>
    <mergeCell ref="C58:D58"/>
    <mergeCell ref="E58:H58"/>
    <mergeCell ref="I58:K58"/>
    <mergeCell ref="L58:O58"/>
    <mergeCell ref="P58:S58"/>
    <mergeCell ref="T58:W58"/>
    <mergeCell ref="X60:AA60"/>
    <mergeCell ref="C61:D61"/>
    <mergeCell ref="E61:H61"/>
    <mergeCell ref="I61:K61"/>
    <mergeCell ref="L61:O61"/>
    <mergeCell ref="P61:S61"/>
    <mergeCell ref="T61:W61"/>
    <mergeCell ref="X61:AA61"/>
    <mergeCell ref="C60:D60"/>
    <mergeCell ref="E60:H60"/>
    <mergeCell ref="I60:K60"/>
    <mergeCell ref="L60:O60"/>
    <mergeCell ref="P60:S60"/>
    <mergeCell ref="T60:W60"/>
    <mergeCell ref="C64:D64"/>
    <mergeCell ref="E64:H64"/>
    <mergeCell ref="I64:K64"/>
    <mergeCell ref="L64:O64"/>
    <mergeCell ref="P64:S64"/>
    <mergeCell ref="T64:W64"/>
    <mergeCell ref="X62:AA62"/>
    <mergeCell ref="C63:D63"/>
    <mergeCell ref="E63:H63"/>
    <mergeCell ref="I63:K63"/>
    <mergeCell ref="L63:O63"/>
    <mergeCell ref="P63:S63"/>
    <mergeCell ref="T63:W63"/>
    <mergeCell ref="X63:AA63"/>
    <mergeCell ref="C62:D62"/>
    <mergeCell ref="E62:H62"/>
    <mergeCell ref="I62:K62"/>
    <mergeCell ref="L62:O62"/>
    <mergeCell ref="P62:S62"/>
    <mergeCell ref="T62:W62"/>
    <mergeCell ref="X64:AA64"/>
    <mergeCell ref="L65:O65"/>
    <mergeCell ref="P65:S65"/>
    <mergeCell ref="T65:W65"/>
    <mergeCell ref="X65:AA65"/>
    <mergeCell ref="M67:N67"/>
    <mergeCell ref="O67:Q67"/>
    <mergeCell ref="U67:V67"/>
    <mergeCell ref="W67:Z67"/>
    <mergeCell ref="Q77:R77"/>
    <mergeCell ref="L80:M80"/>
    <mergeCell ref="N80:O80"/>
    <mergeCell ref="C82:E82"/>
    <mergeCell ref="F82:G82"/>
    <mergeCell ref="I82:J82"/>
    <mergeCell ref="C73:D73"/>
    <mergeCell ref="E73:G73"/>
    <mergeCell ref="H73:K73"/>
    <mergeCell ref="C75:D75"/>
    <mergeCell ref="E75:H75"/>
    <mergeCell ref="O77:P77"/>
    <mergeCell ref="H99:I99"/>
    <mergeCell ref="J99:L99"/>
    <mergeCell ref="L102:N102"/>
    <mergeCell ref="F108:G108"/>
    <mergeCell ref="H108:K108"/>
    <mergeCell ref="M108:N108"/>
    <mergeCell ref="L84:M84"/>
    <mergeCell ref="N84:O84"/>
    <mergeCell ref="C89:E89"/>
    <mergeCell ref="F89:G89"/>
    <mergeCell ref="I89:J89"/>
    <mergeCell ref="H95:J95"/>
    <mergeCell ref="O108:R108"/>
    <mergeCell ref="F110:G110"/>
    <mergeCell ref="H110:K110"/>
    <mergeCell ref="M110:N110"/>
    <mergeCell ref="O110:R110"/>
    <mergeCell ref="C151:G152"/>
    <mergeCell ref="L152:O152"/>
    <mergeCell ref="P152:Q152"/>
    <mergeCell ref="R152:S152"/>
    <mergeCell ref="E159:G159"/>
    <mergeCell ref="L158:O158"/>
    <mergeCell ref="X158:Z158"/>
    <mergeCell ref="L160:O160"/>
    <mergeCell ref="U160:X160"/>
    <mergeCell ref="K162:L162"/>
    <mergeCell ref="M162:N162"/>
    <mergeCell ref="Z162:AA162"/>
    <mergeCell ref="T152:V152"/>
    <mergeCell ref="X152:Z152"/>
    <mergeCell ref="H153:I156"/>
    <mergeCell ref="L154:P154"/>
    <mergeCell ref="Q154:S154"/>
    <mergeCell ref="T154:U154"/>
    <mergeCell ref="W154:Z154"/>
    <mergeCell ref="H173:I174"/>
    <mergeCell ref="AB162:AC162"/>
    <mergeCell ref="I164:J164"/>
    <mergeCell ref="K164:L164"/>
    <mergeCell ref="C166:E166"/>
    <mergeCell ref="F166:G166"/>
    <mergeCell ref="I166:J166"/>
    <mergeCell ref="S166:U166"/>
    <mergeCell ref="V166:W166"/>
    <mergeCell ref="Y166:Z166"/>
    <mergeCell ref="C173:G174"/>
    <mergeCell ref="R175:S175"/>
    <mergeCell ref="T175:U175"/>
    <mergeCell ref="V175:X175"/>
    <mergeCell ref="Z175:AB175"/>
    <mergeCell ref="X176:Y176"/>
    <mergeCell ref="Z176:AB176"/>
    <mergeCell ref="N178:R178"/>
    <mergeCell ref="N174:Q174"/>
    <mergeCell ref="R174:S174"/>
    <mergeCell ref="T174:U174"/>
    <mergeCell ref="V174:X174"/>
    <mergeCell ref="S178:U178"/>
    <mergeCell ref="V178:X178"/>
    <mergeCell ref="Z178:AC178"/>
    <mergeCell ref="Z203:AC203"/>
    <mergeCell ref="V203:X203"/>
    <mergeCell ref="S203:U203"/>
    <mergeCell ref="N203:R203"/>
    <mergeCell ref="N205:R205"/>
    <mergeCell ref="N206:R206"/>
    <mergeCell ref="Z180:AC180"/>
    <mergeCell ref="V191:W191"/>
    <mergeCell ref="Y191:Z191"/>
    <mergeCell ref="N183:Q183"/>
    <mergeCell ref="Z183:AB183"/>
    <mergeCell ref="I189:J189"/>
    <mergeCell ref="K189:L189"/>
    <mergeCell ref="Z207:AC207"/>
    <mergeCell ref="X207:Y207"/>
    <mergeCell ref="K198:L199"/>
    <mergeCell ref="W211:Z211"/>
    <mergeCell ref="Z209:AB209"/>
    <mergeCell ref="N201:Q201"/>
    <mergeCell ref="R201:S201"/>
    <mergeCell ref="T201:U201"/>
    <mergeCell ref="V201:X201"/>
    <mergeCell ref="Z201:AB201"/>
    <mergeCell ref="Z202:AC202"/>
    <mergeCell ref="S205:U205"/>
    <mergeCell ref="Z204:AC204"/>
    <mergeCell ref="V204:X204"/>
    <mergeCell ref="S204:U204"/>
    <mergeCell ref="N204:R204"/>
    <mergeCell ref="R199:S199"/>
    <mergeCell ref="O211:Q211"/>
    <mergeCell ref="X202:Y202"/>
    <mergeCell ref="Z199:AB199"/>
    <mergeCell ref="V199:X199"/>
    <mergeCell ref="T199:U199"/>
    <mergeCell ref="C184:I185"/>
    <mergeCell ref="N185:Q185"/>
    <mergeCell ref="W185:Z185"/>
    <mergeCell ref="K187:L187"/>
    <mergeCell ref="M187:N187"/>
    <mergeCell ref="Z187:AA187"/>
    <mergeCell ref="AB187:AC187"/>
    <mergeCell ref="J179:K183"/>
    <mergeCell ref="N179:R179"/>
    <mergeCell ref="S179:U179"/>
    <mergeCell ref="V179:X179"/>
    <mergeCell ref="Z179:AC179"/>
    <mergeCell ref="X180:Y180"/>
    <mergeCell ref="C191:E191"/>
    <mergeCell ref="F191:G191"/>
    <mergeCell ref="I191:J191"/>
    <mergeCell ref="S191:U191"/>
    <mergeCell ref="Z174:AB174"/>
    <mergeCell ref="J175:K178"/>
    <mergeCell ref="N175:Q175"/>
    <mergeCell ref="Z200:AB200"/>
    <mergeCell ref="Z206:AC206"/>
    <mergeCell ref="V205:X205"/>
    <mergeCell ref="Z205:AC205"/>
    <mergeCell ref="H198:I199"/>
    <mergeCell ref="C198:G199"/>
    <mergeCell ref="N200:Q200"/>
    <mergeCell ref="N199:Q199"/>
    <mergeCell ref="J200:K203"/>
    <mergeCell ref="Z198:AB198"/>
    <mergeCell ref="V198:X198"/>
    <mergeCell ref="T198:U198"/>
    <mergeCell ref="R198:S198"/>
    <mergeCell ref="N198:Q198"/>
    <mergeCell ref="R200:S200"/>
    <mergeCell ref="T200:U200"/>
    <mergeCell ref="V200:X20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  <headerFooter>
    <oddHeader xml:space="preserve">&amp;R&amp;"ISOCPEUR,Negrita"&amp;8&amp;K01+044JGF-CONSULTORIAS &amp; CONSTRUCCIONES </oddHeader>
    <oddFooter>&amp;C&amp;"-,Cursiva"&amp;10&amp;K002060Página &amp;P</oddFooter>
  </headerFooter>
  <colBreaks count="1" manualBreakCount="1">
    <brk id="30" max="25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Hoja2</vt:lpstr>
      <vt:lpstr>gaviones</vt:lpstr>
      <vt:lpstr>gaviones!Área_de_impresión</vt:lpstr>
      <vt:lpstr>gaviones!B</vt:lpstr>
      <vt:lpstr>gaviones!beta</vt:lpstr>
      <vt:lpstr>gaviones!fi</vt:lpstr>
      <vt:lpstr>gaviones!Ht</vt:lpstr>
      <vt:lpstr>gaviones!Ka</vt:lpstr>
      <vt:lpstr>gaviones!Proca</vt:lpstr>
      <vt:lpstr>gaviones!Psuelo</vt:lpstr>
      <vt:lpstr>gaviones!Qadm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</dc:creator>
  <cp:lastModifiedBy>YELSIN SEBASTIAN</cp:lastModifiedBy>
  <cp:lastPrinted>2023-08-15T04:48:26Z</cp:lastPrinted>
  <dcterms:created xsi:type="dcterms:W3CDTF">2018-11-19T20:48:04Z</dcterms:created>
  <dcterms:modified xsi:type="dcterms:W3CDTF">2025-06-05T21:32:27Z</dcterms:modified>
</cp:coreProperties>
</file>