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8F97D52E-138F-4845-9C14-86DBE69FDA5E}" xr6:coauthVersionLast="47" xr6:coauthVersionMax="47" xr10:uidLastSave="{00000000-0000-0000-0000-000000000000}"/>
  <bookViews>
    <workbookView xWindow="28680" yWindow="-120" windowWidth="29040" windowHeight="15720" xr2:uid="{00000000-000D-0000-FFFF-FFFF00000000}"/>
  </bookViews>
  <sheets>
    <sheet name="TANQUE SEPTICO" sheetId="7" r:id="rId1"/>
  </sheets>
  <definedNames>
    <definedName name="_xlnm.Print_Area" localSheetId="0">'TANQUE SEPTICO'!$A$1:$M$1348</definedName>
    <definedName name="_xlnm.Print_Titles" localSheetId="0">'TANQUE SEPTICO'!$1:$1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6" i="7" l="1"/>
  <c r="G1271" i="7" l="1"/>
  <c r="J412" i="7" l="1"/>
  <c r="D1236" i="7"/>
  <c r="D1235" i="7"/>
  <c r="C1209" i="7"/>
  <c r="I1183" i="7"/>
  <c r="D1173" i="7"/>
  <c r="C708" i="7"/>
  <c r="D639" i="7" l="1"/>
  <c r="O945" i="7"/>
  <c r="O483" i="7"/>
  <c r="O525" i="7" s="1"/>
  <c r="O946" i="7" l="1"/>
  <c r="O941" i="7"/>
  <c r="J248" i="7"/>
  <c r="E307" i="7" s="1"/>
  <c r="R1241" i="7" l="1"/>
  <c r="T1241" i="7" s="1"/>
  <c r="C1246" i="7" l="1"/>
  <c r="C1250" i="7"/>
  <c r="C1253" i="7"/>
  <c r="O1250" i="7" s="1"/>
  <c r="C1247" i="7"/>
  <c r="P1264" i="7"/>
  <c r="P1263" i="7"/>
  <c r="H1261" i="7"/>
  <c r="H1259" i="7"/>
  <c r="H1256" i="7"/>
  <c r="B1236" i="7"/>
  <c r="B1235" i="7"/>
  <c r="P238" i="7"/>
  <c r="P239" i="7"/>
  <c r="B71" i="7"/>
  <c r="P240" i="7" s="1"/>
  <c r="P242" i="7"/>
  <c r="P243" i="7"/>
  <c r="P245" i="7"/>
  <c r="P249" i="7"/>
  <c r="P89" i="7"/>
  <c r="C524" i="7"/>
  <c r="C481" i="7"/>
  <c r="C1101" i="7"/>
  <c r="C1105" i="7"/>
  <c r="C1109" i="7"/>
  <c r="O1105" i="7" s="1"/>
  <c r="C1102" i="7"/>
  <c r="W1017" i="7"/>
  <c r="U1017" i="7"/>
  <c r="C907" i="7"/>
  <c r="C818" i="7"/>
  <c r="O704" i="7"/>
  <c r="C676" i="7"/>
  <c r="E676" i="7" s="1"/>
  <c r="K676" i="7" s="1"/>
  <c r="D640" i="7"/>
  <c r="D641" i="7" s="1"/>
  <c r="F693" i="7" s="1"/>
  <c r="J939" i="7"/>
  <c r="L939" i="7" s="1"/>
  <c r="P291" i="7"/>
  <c r="J1004" i="7"/>
  <c r="C1005" i="7" s="1"/>
  <c r="H1002" i="7"/>
  <c r="D1002" i="7"/>
  <c r="E1005" i="7" s="1"/>
  <c r="C1045" i="7"/>
  <c r="P1119" i="7"/>
  <c r="P1118" i="7"/>
  <c r="H1116" i="7"/>
  <c r="H1114" i="7"/>
  <c r="H1111" i="7"/>
  <c r="C755" i="7"/>
  <c r="O752" i="7" s="1"/>
  <c r="G671" i="7"/>
  <c r="K671" i="7" s="1"/>
  <c r="H442" i="7"/>
  <c r="B452" i="7" s="1"/>
  <c r="D258" i="7"/>
  <c r="D427" i="7"/>
  <c r="P441" i="7"/>
  <c r="P442" i="7" s="1"/>
  <c r="P444" i="7"/>
  <c r="P440" i="7"/>
  <c r="D490" i="7"/>
  <c r="D533" i="7"/>
  <c r="D451" i="7"/>
  <c r="P431" i="7"/>
  <c r="P428" i="7"/>
  <c r="P429" i="7" s="1"/>
  <c r="S429" i="7" s="1"/>
  <c r="P427" i="7"/>
  <c r="H349" i="7"/>
  <c r="I350" i="7" s="1"/>
  <c r="C349" i="7"/>
  <c r="B258" i="7"/>
  <c r="P248" i="7"/>
  <c r="P244" i="7"/>
  <c r="D428" i="7"/>
  <c r="C685" i="7"/>
  <c r="E685" i="7" s="1"/>
  <c r="C1048" i="7"/>
  <c r="O1045" i="7" s="1"/>
  <c r="P1068" i="7"/>
  <c r="P1067" i="7"/>
  <c r="H1055" i="7"/>
  <c r="H1053" i="7"/>
  <c r="H1050" i="7"/>
  <c r="C1042" i="7"/>
  <c r="C1041" i="7"/>
  <c r="C876" i="7"/>
  <c r="E876" i="7" s="1"/>
  <c r="C878" i="7" s="1"/>
  <c r="C752" i="7"/>
  <c r="P920" i="7"/>
  <c r="P919" i="7"/>
  <c r="P895" i="7"/>
  <c r="P894" i="7"/>
  <c r="P879" i="7"/>
  <c r="P878" i="7"/>
  <c r="C820" i="7"/>
  <c r="C787" i="7"/>
  <c r="H762" i="7"/>
  <c r="C749" i="7"/>
  <c r="C909" i="7" s="1"/>
  <c r="C910" i="7" s="1"/>
  <c r="C748" i="7"/>
  <c r="C701" i="7"/>
  <c r="C700" i="7"/>
  <c r="C686" i="7"/>
  <c r="E686" i="7" s="1"/>
  <c r="C872" i="7" s="1"/>
  <c r="C873" i="7" s="1"/>
  <c r="B641" i="7"/>
  <c r="B828" i="7" l="1"/>
  <c r="J1116" i="7"/>
  <c r="C1236" i="7"/>
  <c r="J762" i="7"/>
  <c r="C789" i="7"/>
  <c r="C790" i="7" s="1"/>
  <c r="P246" i="7"/>
  <c r="O1104" i="7"/>
  <c r="L1110" i="7" s="1"/>
  <c r="W1018" i="7"/>
  <c r="U1020" i="7" s="1"/>
  <c r="J1055" i="7"/>
  <c r="D1005" i="7"/>
  <c r="D429" i="7"/>
  <c r="P430" i="7" s="1"/>
  <c r="G1005" i="7"/>
  <c r="D529" i="7"/>
  <c r="G521" i="7" s="1"/>
  <c r="O523" i="7"/>
  <c r="O524" i="7" s="1"/>
  <c r="O526" i="7" s="1"/>
  <c r="H526" i="7" s="1"/>
  <c r="O951" i="7" s="1"/>
  <c r="O1044" i="7"/>
  <c r="S446" i="7"/>
  <c r="N347" i="7"/>
  <c r="G688" i="7"/>
  <c r="G690" i="7" s="1"/>
  <c r="B693" i="7" s="1"/>
  <c r="I351" i="7"/>
  <c r="N350" i="7" s="1"/>
  <c r="S433" i="7"/>
  <c r="I349" i="7"/>
  <c r="G478" i="7"/>
  <c r="O481" i="7"/>
  <c r="O482" i="7" s="1"/>
  <c r="O484" i="7" s="1"/>
  <c r="H483" i="7" s="1"/>
  <c r="O948" i="7" s="1"/>
  <c r="B533" i="7"/>
  <c r="B301" i="7"/>
  <c r="B309" i="7" s="1"/>
  <c r="J914" i="7"/>
  <c r="D920" i="7" s="1"/>
  <c r="F1235" i="7"/>
  <c r="C1235" i="7"/>
  <c r="F880" i="7"/>
  <c r="H880" i="7" s="1"/>
  <c r="J1271" i="7" s="1"/>
  <c r="O751" i="7"/>
  <c r="F1236" i="7"/>
  <c r="C819" i="7"/>
  <c r="C704" i="7"/>
  <c r="D486" i="7"/>
  <c r="D489" i="7" s="1"/>
  <c r="P432" i="7"/>
  <c r="B490" i="7"/>
  <c r="P247" i="7"/>
  <c r="S246" i="7" s="1"/>
  <c r="E246" i="7" s="1"/>
  <c r="S442" i="7"/>
  <c r="P241" i="7"/>
  <c r="S240" i="7" s="1"/>
  <c r="E245" i="7" s="1"/>
  <c r="O1249" i="7"/>
  <c r="L1253" i="7" s="1"/>
  <c r="P445" i="7"/>
  <c r="J1261" i="7"/>
  <c r="D532" i="7" l="1"/>
  <c r="I532" i="7" s="1"/>
  <c r="I533" i="7" s="1"/>
  <c r="D798" i="7"/>
  <c r="D891" i="7" s="1"/>
  <c r="L1109" i="7"/>
  <c r="J1111" i="7" s="1"/>
  <c r="J1114" i="7" s="1"/>
  <c r="F1119" i="7" s="1"/>
  <c r="C1129" i="7" s="1"/>
  <c r="D1129" i="7" s="1"/>
  <c r="I1129" i="7" s="1"/>
  <c r="P443" i="7"/>
  <c r="S441" i="7" s="1"/>
  <c r="C828" i="7"/>
  <c r="I489" i="7"/>
  <c r="I490" i="7" s="1"/>
  <c r="L1255" i="7"/>
  <c r="J1256" i="7" s="1"/>
  <c r="J1259" i="7" s="1"/>
  <c r="F1264" i="7" s="1"/>
  <c r="I693" i="7"/>
  <c r="D693" i="7"/>
  <c r="L1049" i="7"/>
  <c r="L1048" i="7"/>
  <c r="D249" i="7"/>
  <c r="K254" i="7"/>
  <c r="D257" i="7" s="1"/>
  <c r="D250" i="7"/>
  <c r="B291" i="7"/>
  <c r="B314" i="7"/>
  <c r="D354" i="7"/>
  <c r="B305" i="7"/>
  <c r="B290" i="7"/>
  <c r="C294" i="7"/>
  <c r="E346" i="7"/>
  <c r="K715" i="7"/>
  <c r="O703" i="7"/>
  <c r="S428" i="7"/>
  <c r="S432" i="7"/>
  <c r="T432" i="7" s="1"/>
  <c r="L755" i="7"/>
  <c r="L756" i="7"/>
  <c r="S431" i="7"/>
  <c r="S430" i="7"/>
  <c r="S444" i="7"/>
  <c r="S427" i="7"/>
  <c r="W427" i="7" s="1"/>
  <c r="G307" i="7" l="1"/>
  <c r="E309" i="7" s="1"/>
  <c r="S443" i="7"/>
  <c r="W441" i="7" s="1"/>
  <c r="S440" i="7"/>
  <c r="W440" i="7" s="1"/>
  <c r="S445" i="7"/>
  <c r="T445" i="7" s="1"/>
  <c r="J1050" i="7"/>
  <c r="J1053" i="7" s="1"/>
  <c r="G1058" i="7" s="1"/>
  <c r="C1069" i="7" s="1"/>
  <c r="D1069" i="7" s="1"/>
  <c r="I1069" i="7" s="1"/>
  <c r="W428" i="7"/>
  <c r="C1125" i="7"/>
  <c r="D1125" i="7" s="1"/>
  <c r="I1125" i="7" s="1"/>
  <c r="J757" i="7"/>
  <c r="J760" i="7" s="1"/>
  <c r="F765" i="7" s="1"/>
  <c r="F920" i="7" s="1"/>
  <c r="H920" i="7" s="1"/>
  <c r="W429" i="7"/>
  <c r="W430" i="7" s="1"/>
  <c r="I257" i="7"/>
  <c r="I258" i="7" s="1"/>
  <c r="G306" i="7"/>
  <c r="L708" i="7"/>
  <c r="L709" i="7"/>
  <c r="C1269" i="7"/>
  <c r="D1269" i="7" s="1"/>
  <c r="I1269" i="7" s="1"/>
  <c r="W431" i="7" l="1"/>
  <c r="W432" i="7" s="1"/>
  <c r="D430" i="7" s="1"/>
  <c r="K429" i="7" s="1"/>
  <c r="J437" i="7" s="1"/>
  <c r="I439" i="7" s="1"/>
  <c r="D452" i="7" s="1"/>
  <c r="I451" i="7" s="1"/>
  <c r="I452" i="7" s="1"/>
  <c r="W442" i="7"/>
  <c r="W443" i="7" s="1"/>
  <c r="W444" i="7" s="1"/>
  <c r="W445" i="7" s="1"/>
  <c r="D431" i="7" s="1"/>
  <c r="C1064" i="7"/>
  <c r="D1064" i="7" s="1"/>
  <c r="I1064" i="7" s="1"/>
  <c r="D926" i="7"/>
  <c r="I926" i="7" s="1"/>
  <c r="K710" i="7"/>
  <c r="K713" i="7" s="1"/>
  <c r="F719" i="7" s="1"/>
  <c r="F891" i="7" s="1"/>
  <c r="H891" i="7" s="1"/>
  <c r="F309" i="7"/>
  <c r="H307" i="7"/>
  <c r="E310" i="7"/>
  <c r="F310" i="7" s="1"/>
  <c r="D897" i="7" l="1"/>
  <c r="I89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Cristian</author>
    <author>USUARIO</author>
  </authors>
  <commentList>
    <comment ref="B71" authorId="0" shapeId="0" xr:uid="{00000000-0006-0000-0000-000001000000}">
      <text>
        <r>
          <rPr>
            <b/>
            <sz val="10"/>
            <color indexed="81"/>
            <rFont val="Tahoma"/>
            <family val="2"/>
          </rPr>
          <t xml:space="preserve">DEBE SER &lt;Φ/2, MANUAL DE DISEÑO DE PUENTES 2018 -2.4.4.1.5.4 </t>
        </r>
        <r>
          <rPr>
            <sz val="9"/>
            <color indexed="81"/>
            <rFont val="Tahoma"/>
            <family val="2"/>
          </rPr>
          <t xml:space="preserve">
</t>
        </r>
      </text>
    </comment>
    <comment ref="B257" authorId="0" shapeId="0" xr:uid="{00000000-0006-0000-0000-000002000000}">
      <text>
        <r>
          <rPr>
            <b/>
            <sz val="8"/>
            <color indexed="81"/>
            <rFont val="Tahoma"/>
            <family val="2"/>
          </rPr>
          <t xml:space="preserve">Insertar coordenada en Z,
de la parte mas baja donde se aplicara la fuerza
</t>
        </r>
      </text>
    </comment>
    <comment ref="I257" authorId="1" shapeId="0" xr:uid="{00000000-0006-0000-0000-000003000000}">
      <text>
        <r>
          <rPr>
            <b/>
            <sz val="9"/>
            <color indexed="81"/>
            <rFont val="Swis721 Cn BT"/>
            <family val="2"/>
          </rPr>
          <t>formula: AX+BY+CZ+D=VALOR</t>
        </r>
        <r>
          <rPr>
            <sz val="9"/>
            <color indexed="81"/>
            <rFont val="Tahoma"/>
            <family val="2"/>
          </rPr>
          <t xml:space="preserve">
</t>
        </r>
      </text>
    </comment>
    <comment ref="I258" authorId="1" shapeId="0" xr:uid="{00000000-0006-0000-0000-000004000000}">
      <text>
        <r>
          <rPr>
            <b/>
            <sz val="9"/>
            <color indexed="81"/>
            <rFont val="Swis721 Cn BT"/>
            <family val="2"/>
          </rPr>
          <t>formula: AX+BY+CZ+D=VALOR</t>
        </r>
        <r>
          <rPr>
            <sz val="9"/>
            <color indexed="81"/>
            <rFont val="Tahoma"/>
            <family val="2"/>
          </rPr>
          <t xml:space="preserve">
</t>
        </r>
      </text>
    </comment>
    <comment ref="B451" authorId="0" shapeId="0" xr:uid="{00000000-0006-0000-0000-000005000000}">
      <text>
        <r>
          <rPr>
            <b/>
            <sz val="8"/>
            <color indexed="81"/>
            <rFont val="Tahoma"/>
            <family val="2"/>
          </rPr>
          <t xml:space="preserve">Insertar coordenada en Z,
de la parte mas baja donde se aplicara la fuerza
</t>
        </r>
      </text>
    </comment>
    <comment ref="I451" authorId="1" shapeId="0" xr:uid="{00000000-0006-0000-0000-000006000000}">
      <text>
        <r>
          <rPr>
            <b/>
            <sz val="9"/>
            <color indexed="81"/>
            <rFont val="Swis721 Cn BT"/>
            <family val="2"/>
          </rPr>
          <t>formula: AX+BY+CZ+D=VALOR</t>
        </r>
        <r>
          <rPr>
            <sz val="9"/>
            <color indexed="81"/>
            <rFont val="Tahoma"/>
            <family val="2"/>
          </rPr>
          <t xml:space="preserve">
</t>
        </r>
      </text>
    </comment>
    <comment ref="I452" authorId="1" shapeId="0" xr:uid="{00000000-0006-0000-0000-000007000000}">
      <text>
        <r>
          <rPr>
            <b/>
            <sz val="9"/>
            <color indexed="81"/>
            <rFont val="Swis721 Cn BT"/>
            <family val="2"/>
          </rPr>
          <t>formula: AX+BY+CZ+D=VALOR</t>
        </r>
        <r>
          <rPr>
            <sz val="9"/>
            <color indexed="81"/>
            <rFont val="Tahoma"/>
            <family val="2"/>
          </rPr>
          <t xml:space="preserve">
</t>
        </r>
      </text>
    </comment>
    <comment ref="B489" authorId="0" shapeId="0" xr:uid="{00000000-0006-0000-0000-000008000000}">
      <text>
        <r>
          <rPr>
            <b/>
            <sz val="8"/>
            <color indexed="81"/>
            <rFont val="Tahoma"/>
            <family val="2"/>
          </rPr>
          <t xml:space="preserve">Insertar coordenada en Z,
de la parte mas baja donde se aplicara la fuerza
</t>
        </r>
      </text>
    </comment>
    <comment ref="I489" authorId="1" shapeId="0" xr:uid="{00000000-0006-0000-0000-000009000000}">
      <text>
        <r>
          <rPr>
            <b/>
            <sz val="9"/>
            <color indexed="81"/>
            <rFont val="Swis721 Cn BT"/>
            <family val="2"/>
          </rPr>
          <t>formula: AX+BY+CZ+D=VALOR</t>
        </r>
        <r>
          <rPr>
            <sz val="9"/>
            <color indexed="81"/>
            <rFont val="Tahoma"/>
            <family val="2"/>
          </rPr>
          <t xml:space="preserve">
</t>
        </r>
      </text>
    </comment>
    <comment ref="I490" authorId="1" shapeId="0" xr:uid="{00000000-0006-0000-0000-00000A000000}">
      <text>
        <r>
          <rPr>
            <b/>
            <sz val="9"/>
            <color indexed="81"/>
            <rFont val="Swis721 Cn BT"/>
            <family val="2"/>
          </rPr>
          <t>formula: AX+BY+CZ+D=VALOR</t>
        </r>
        <r>
          <rPr>
            <sz val="9"/>
            <color indexed="81"/>
            <rFont val="Tahoma"/>
            <family val="2"/>
          </rPr>
          <t xml:space="preserve">
</t>
        </r>
      </text>
    </comment>
    <comment ref="B532" authorId="0" shapeId="0" xr:uid="{00000000-0006-0000-0000-00000B000000}">
      <text>
        <r>
          <rPr>
            <b/>
            <sz val="8"/>
            <color indexed="81"/>
            <rFont val="Tahoma"/>
            <family val="2"/>
          </rPr>
          <t xml:space="preserve">Insertar coordenada en Z,
de la parte mas baja donde se aplicara la fuerza
</t>
        </r>
      </text>
    </comment>
    <comment ref="I532" authorId="1" shapeId="0" xr:uid="{00000000-0006-0000-0000-00000C000000}">
      <text>
        <r>
          <rPr>
            <b/>
            <sz val="9"/>
            <color indexed="81"/>
            <rFont val="Swis721 Cn BT"/>
            <family val="2"/>
          </rPr>
          <t>formula: AX+BY+CZ+D=VALOR</t>
        </r>
        <r>
          <rPr>
            <sz val="9"/>
            <color indexed="81"/>
            <rFont val="Tahoma"/>
            <family val="2"/>
          </rPr>
          <t xml:space="preserve">
</t>
        </r>
      </text>
    </comment>
    <comment ref="I533" authorId="1" shapeId="0" xr:uid="{00000000-0006-0000-0000-00000D000000}">
      <text>
        <r>
          <rPr>
            <b/>
            <sz val="9"/>
            <color indexed="81"/>
            <rFont val="Swis721 Cn BT"/>
            <family val="2"/>
          </rPr>
          <t>formula: AX+BY+CZ+D=VALOR</t>
        </r>
        <r>
          <rPr>
            <sz val="9"/>
            <color indexed="81"/>
            <rFont val="Tahoma"/>
            <family val="2"/>
          </rPr>
          <t xml:space="preserve">
</t>
        </r>
      </text>
    </comment>
    <comment ref="D639" authorId="0" shapeId="0" xr:uid="{00000000-0006-0000-0000-00000E000000}">
      <text>
        <r>
          <rPr>
            <b/>
            <sz val="9"/>
            <color indexed="81"/>
            <rFont val="Tahoma"/>
            <family val="2"/>
          </rPr>
          <t>INSERTAR VALOR DE LA REACCION EN LA BASE, REVISAR EL DISEÑO DE TANQUES RECTANGULARES</t>
        </r>
        <r>
          <rPr>
            <sz val="9"/>
            <color indexed="81"/>
            <rFont val="Tahoma"/>
            <family val="2"/>
          </rPr>
          <t xml:space="preserve">
</t>
        </r>
      </text>
    </comment>
    <comment ref="C676" authorId="0" shapeId="0" xr:uid="{00000000-0006-0000-0000-00000F000000}">
      <text>
        <r>
          <rPr>
            <b/>
            <sz val="9"/>
            <color indexed="81"/>
            <rFont val="Tahoma"/>
            <charset val="1"/>
          </rPr>
          <t>REVISAR ESPESOR DE
MURO</t>
        </r>
        <r>
          <rPr>
            <sz val="9"/>
            <color indexed="81"/>
            <rFont val="Tahoma"/>
            <charset val="1"/>
          </rPr>
          <t xml:space="preserve">
</t>
        </r>
      </text>
    </comment>
    <comment ref="J704" authorId="0" shapeId="0" xr:uid="{00000000-0006-0000-0000-000010000000}">
      <text>
        <r>
          <rPr>
            <b/>
            <sz val="9"/>
            <color indexed="81"/>
            <rFont val="Tahoma"/>
            <family val="2"/>
          </rPr>
          <t>INSERTAR RECUBRIMIENTO A USAR</t>
        </r>
        <r>
          <rPr>
            <sz val="9"/>
            <color indexed="81"/>
            <rFont val="Tahoma"/>
            <family val="2"/>
          </rPr>
          <t xml:space="preserve">
</t>
        </r>
      </text>
    </comment>
  </commentList>
</comments>
</file>

<file path=xl/sharedStrings.xml><?xml version="1.0" encoding="utf-8"?>
<sst xmlns="http://schemas.openxmlformats.org/spreadsheetml/2006/main" count="957" uniqueCount="600">
  <si>
    <t>m</t>
  </si>
  <si>
    <t>=</t>
  </si>
  <si>
    <t>Resistencia del concreto</t>
  </si>
  <si>
    <t>&lt;</t>
  </si>
  <si>
    <t>Donde :</t>
  </si>
  <si>
    <t>Y =</t>
  </si>
  <si>
    <t>P =</t>
  </si>
  <si>
    <t>C =</t>
  </si>
  <si>
    <t>D =</t>
  </si>
  <si>
    <t>: Coeficiente de la presion activa</t>
  </si>
  <si>
    <t>: Coeficiente de la presion pasiva</t>
  </si>
  <si>
    <t>Z=</t>
  </si>
  <si>
    <t>Pa:</t>
  </si>
  <si>
    <t>Para nuestro modelo haremos uso del empuje activo, considerando que el muro del recipiente se deflectara en una cantidad muy pequeña :</t>
  </si>
  <si>
    <t>U1 = 1.4D+1.7L</t>
  </si>
  <si>
    <t>donde:</t>
  </si>
  <si>
    <t>U2 = 1.4D+1.7L+1.7F</t>
  </si>
  <si>
    <t>D : Carga Muerta</t>
  </si>
  <si>
    <t>L : Cargas vivas</t>
  </si>
  <si>
    <t>F : Cargas por presion de fluidos</t>
  </si>
  <si>
    <t>EA : Cargas por empuje de suelos</t>
  </si>
  <si>
    <t xml:space="preserve">Las siguientes combinaciones de carga se usaran en el diseño de la estructura con el fin de garantizar su diseño, estas combinaciones estan </t>
  </si>
  <si>
    <t>dadas en el RNE norma E.060 seccion 9.2, las cuales procedemos a detallar :</t>
  </si>
  <si>
    <t>E.020 - Normas de Cargas</t>
  </si>
  <si>
    <t>E.030 - Normas de Diseño Sismorresistente</t>
  </si>
  <si>
    <t>E.050 - Norma de Suelos y Cimentaciones</t>
  </si>
  <si>
    <t>E.060 - Norma de Concreto Armado</t>
  </si>
  <si>
    <t>Se verificara de la siguiente manera:</t>
  </si>
  <si>
    <t>Vmax =</t>
  </si>
  <si>
    <t>V</t>
  </si>
  <si>
    <t>: Cortante Basal</t>
  </si>
  <si>
    <t>V=</t>
  </si>
  <si>
    <t>: Cortante maximo en las paredes del tanque</t>
  </si>
  <si>
    <t>Vmax=</t>
  </si>
  <si>
    <t>Se debe verificar :</t>
  </si>
  <si>
    <t>ɸ Vn ≥ qmax</t>
  </si>
  <si>
    <t>; donde  :</t>
  </si>
  <si>
    <t>Vn</t>
  </si>
  <si>
    <t>: Cortante nominal</t>
  </si>
  <si>
    <t>q</t>
  </si>
  <si>
    <t>ɸ</t>
  </si>
  <si>
    <t>tambien se tiene :</t>
  </si>
  <si>
    <t>Acv</t>
  </si>
  <si>
    <t>: Area horizontal del segmento de muro con Lw = 1'</t>
  </si>
  <si>
    <t xml:space="preserve">Seccion 21.7.4.1 del ACI 350 – 06. </t>
  </si>
  <si>
    <t>pn</t>
  </si>
  <si>
    <t>: Cuantia nominal de refuerzo</t>
  </si>
  <si>
    <t>Tenemos :</t>
  </si>
  <si>
    <t>;   para  hw / lw ≤ 1.5</t>
  </si>
  <si>
    <t>αc</t>
  </si>
  <si>
    <t>;   para  hw / lw ≥ 2</t>
  </si>
  <si>
    <t xml:space="preserve">Entonces: </t>
  </si>
  <si>
    <t>t</t>
  </si>
  <si>
    <t>: donde :</t>
  </si>
  <si>
    <t>1 m = 3.28 ft</t>
  </si>
  <si>
    <t>donde :</t>
  </si>
  <si>
    <t>Ash</t>
  </si>
  <si>
    <t>Sv</t>
  </si>
  <si>
    <t xml:space="preserve">: Separación vertical del refuerzo horizontal. </t>
  </si>
  <si>
    <t>: Espesor del muro.</t>
  </si>
  <si>
    <t>Para fines de verificacion se usara  pn = pmin , donde :</t>
  </si>
  <si>
    <t>1 kg/cm² = 14.2233433071 Psi</t>
  </si>
  <si>
    <t>fy</t>
  </si>
  <si>
    <t>Remplazando todos los valores encontrados en la ecuacion, calculamos el Vn :</t>
  </si>
  <si>
    <t>1lb= 0.4535923kg</t>
  </si>
  <si>
    <t>Finalmente verificamos :</t>
  </si>
  <si>
    <t xml:space="preserve">lw     </t>
  </si>
  <si>
    <t>pmin =</t>
  </si>
  <si>
    <t xml:space="preserve">:  Es  el  área  de  una  varilla  de  refuerzo  que  conforma  </t>
  </si>
  <si>
    <t>la  capa horizontal externa e interna del muro</t>
  </si>
  <si>
    <t>t  =</t>
  </si>
  <si>
    <t>Acv  =</t>
  </si>
  <si>
    <t>f'c =</t>
  </si>
  <si>
    <t>fy =</t>
  </si>
  <si>
    <t>Vn   =</t>
  </si>
  <si>
    <t>q  =</t>
  </si>
  <si>
    <t>Vfinal=</t>
  </si>
  <si>
    <t>: Afectado por el factor sanitario</t>
  </si>
  <si>
    <t xml:space="preserve">Y = Ø * f'c * b * d² </t>
  </si>
  <si>
    <t>Ø :</t>
  </si>
  <si>
    <t>b :</t>
  </si>
  <si>
    <t>d :</t>
  </si>
  <si>
    <t>Mu</t>
  </si>
  <si>
    <t>kg. x cm.</t>
  </si>
  <si>
    <t>??</t>
  </si>
  <si>
    <t>Para:</t>
  </si>
  <si>
    <t>Mu=</t>
  </si>
  <si>
    <t>kg. x m</t>
  </si>
  <si>
    <t>Resolviendo la Ecuación</t>
  </si>
  <si>
    <t>w1=</t>
  </si>
  <si>
    <t>w2=</t>
  </si>
  <si>
    <t xml:space="preserve">Tomemos el menor valor positivo, reemplazando se tiene :  </t>
  </si>
  <si>
    <t>:Afectado por el factor de durabilidad</t>
  </si>
  <si>
    <t>:Coeficiente de reduccion por flexion</t>
  </si>
  <si>
    <t>:Valor a determinar, resolviendo la ecuacion cuadratica</t>
  </si>
  <si>
    <t>w :</t>
  </si>
  <si>
    <t>f'c:</t>
  </si>
  <si>
    <t>: Resistencia a compresion del concreto</t>
  </si>
  <si>
    <t>f'c x w</t>
  </si>
  <si>
    <t>Luego el As requerido sera :</t>
  </si>
  <si>
    <t>p.b.d</t>
  </si>
  <si>
    <t>El Asmin para flexion según el codigo ACI 318-11 seccion 10.5.1 es :</t>
  </si>
  <si>
    <t>14.b.d</t>
  </si>
  <si>
    <t>Finalmente el As a usar sera :</t>
  </si>
  <si>
    <t>p  =</t>
  </si>
  <si>
    <t>fy:</t>
  </si>
  <si>
    <t>: Esfuerzo de fluencia del acero</t>
  </si>
  <si>
    <t>p       =</t>
  </si>
  <si>
    <t>As     =</t>
  </si>
  <si>
    <t>As   =</t>
  </si>
  <si>
    <t>Asmin    =</t>
  </si>
  <si>
    <t>Asmin   =</t>
  </si>
  <si>
    <t>As    =</t>
  </si>
  <si>
    <t xml:space="preserve">As    =   </t>
  </si>
  <si>
    <t>El valor de esta tension es :</t>
  </si>
  <si>
    <t>: F11 max positivo del analisis en SAP2000</t>
  </si>
  <si>
    <t>: Afectado por el factor de durabilidad</t>
  </si>
  <si>
    <t>: Coeficiente de reduccion por Tension</t>
  </si>
  <si>
    <t>: se toma el 45% de fy</t>
  </si>
  <si>
    <t>El refuerzo necesario en condiciones ultimas es :</t>
  </si>
  <si>
    <t>Tmax</t>
  </si>
  <si>
    <t>ɸfy</t>
  </si>
  <si>
    <t>T =</t>
  </si>
  <si>
    <t>Tu =</t>
  </si>
  <si>
    <t>ɸ =</t>
  </si>
  <si>
    <t>fs =</t>
  </si>
  <si>
    <t>Mu:</t>
  </si>
  <si>
    <t>: M11 maximo del analisis en SAP2000</t>
  </si>
  <si>
    <t>: M22 maximo del analisis en SAP2000</t>
  </si>
  <si>
    <t>El valor de esta compresion es :</t>
  </si>
  <si>
    <t>: F22 max negativo del analisis en SAP2000</t>
  </si>
  <si>
    <t>Cu</t>
  </si>
  <si>
    <t>: espesor de muro</t>
  </si>
  <si>
    <t>: Ancho de analisis</t>
  </si>
  <si>
    <t>Luego se debe cumplir :</t>
  </si>
  <si>
    <t>f'c</t>
  </si>
  <si>
    <t>Area</t>
  </si>
  <si>
    <t>Cu =</t>
  </si>
  <si>
    <t>em =</t>
  </si>
  <si>
    <t>b =</t>
  </si>
  <si>
    <t>fc  =</t>
  </si>
  <si>
    <t xml:space="preserve">fc  =  </t>
  </si>
  <si>
    <t>Despejando la expresion anterior en funcion al espaciamiento maximo , Smax, se tiene lo siguiente :</t>
  </si>
  <si>
    <t>S : Espaciamiento maximo.</t>
  </si>
  <si>
    <t xml:space="preserve">Fs : Esfuerzo de tensión anular del acero de refuerzo.  </t>
  </si>
  <si>
    <t>dc : Recubrimiento del concreto +1/2ɸ varilla</t>
  </si>
  <si>
    <t>La norma ACI 350 -01/ 10.6.4, dice lo siguiente :</t>
  </si>
  <si>
    <t>: Para condiciones de exposion normales</t>
  </si>
  <si>
    <t>: Para condiciones de exposion severas</t>
  </si>
  <si>
    <t>: se toma el 45% de fy  según ACI 350-01/ 10.6.4</t>
  </si>
  <si>
    <t>:  donde  :      1cm= 0.3937008in</t>
  </si>
  <si>
    <t>in</t>
  </si>
  <si>
    <t>Reemplazando estos valores en la formula tenemos :</t>
  </si>
  <si>
    <t>Es preciso poner mucho énfasis a la importancia del agrietamiento en las estructuras de los depósitos, ya que es imprescindible evitar la</t>
  </si>
  <si>
    <t>filtración del líquido, ya sea de adentro hacia afuera como en sentido inverso.</t>
  </si>
  <si>
    <t xml:space="preserve">Habrá que limitar la separación máxima de las varillas, para efectos de controlar el agrietamiento. </t>
  </si>
  <si>
    <t>El ACI 350-01 en su seccion 10.6.4, indica que la cantidad limitante de refuerzo por flexion, Z,  sera calculada como :</t>
  </si>
  <si>
    <t>Z : Depende de las condiciones de exposicion.</t>
  </si>
  <si>
    <t>Calculamos Z</t>
  </si>
  <si>
    <t>Calculamos fs</t>
  </si>
  <si>
    <t>Calculamos dc</t>
  </si>
  <si>
    <t>Z =</t>
  </si>
  <si>
    <t>r =</t>
  </si>
  <si>
    <t>dc =</t>
  </si>
  <si>
    <t>Smax  =</t>
  </si>
  <si>
    <t>diam (pulg)</t>
  </si>
  <si>
    <t>area(cm2)</t>
  </si>
  <si>
    <t>diametro(cm)</t>
  </si>
  <si>
    <t>Debemos de indicar que para distribuir los refuerzos obtenidos por el método de elementos finitos se considera las siguientes condiciones:</t>
  </si>
  <si>
    <t>As ( axial )</t>
  </si>
  <si>
    <t>+</t>
  </si>
  <si>
    <t>As ( flexion )</t>
  </si>
  <si>
    <t>Siguiendo esta distribución se tienen:</t>
  </si>
  <si>
    <t xml:space="preserve">As total = </t>
  </si>
  <si>
    <t>Condicion Flexion                 As (cm2/m)</t>
  </si>
  <si>
    <t>Ø</t>
  </si>
  <si>
    <t>pulg</t>
  </si>
  <si>
    <t>@</t>
  </si>
  <si>
    <t>Condicion Axial                                  As (cm2/m)</t>
  </si>
  <si>
    <t xml:space="preserve">DISTRIBUCION DEL REFUERZO HORIZONTAL </t>
  </si>
  <si>
    <t>ACERO EN UNA CAPA</t>
  </si>
  <si>
    <t>ACERO EN DOS CAPAS</t>
  </si>
  <si>
    <t>:Ancho de la losa de analisis</t>
  </si>
  <si>
    <t>Considerando las mismas condiciones que el caso anterior :</t>
  </si>
  <si>
    <t>Calculando As (axial ) :</t>
  </si>
  <si>
    <t>:Peso especifico del suelo</t>
  </si>
  <si>
    <t>:Altura total de muro</t>
  </si>
  <si>
    <t>S/C :</t>
  </si>
  <si>
    <t>Hm :</t>
  </si>
  <si>
    <t>Ha :</t>
  </si>
  <si>
    <t>f'c :</t>
  </si>
  <si>
    <t>Re :</t>
  </si>
  <si>
    <t>L1 :</t>
  </si>
  <si>
    <t>e1 :</t>
  </si>
  <si>
    <t>:Peso especifico del concreto</t>
  </si>
  <si>
    <t>GEOMETRIA DEL EMBALSE</t>
  </si>
  <si>
    <t>fy  :</t>
  </si>
  <si>
    <t>:Esfuerzo de fluencia del acero</t>
  </si>
  <si>
    <t>:Capacidad portante del suelo</t>
  </si>
  <si>
    <t>Hgr:</t>
  </si>
  <si>
    <t>Suelo :</t>
  </si>
  <si>
    <t xml:space="preserve">El espesor mínimo de las losas de fondo sobre el suelo debe ser: </t>
  </si>
  <si>
    <t>Losas con una capa de refuerzo</t>
  </si>
  <si>
    <t>Losas con refuerzo preesforzados</t>
  </si>
  <si>
    <t>Losas con dos capas de refuerzo</t>
  </si>
  <si>
    <t>El ACI 350 – 01 en su Apéndice G.3  seccion G.3.1 nos proporciona valores del espesor de losas que van apoyadas directamente sobre el suelo.</t>
  </si>
  <si>
    <t xml:space="preserve"> Este es el caso de la losa de fondo que en su mayor parte, estará sometida a esfuerzos de compresión. </t>
  </si>
  <si>
    <t xml:space="preserve">hs =  </t>
  </si>
  <si>
    <t>els =</t>
  </si>
  <si>
    <t>Re =</t>
  </si>
  <si>
    <t xml:space="preserve">:Espesor de la losa menos recubrimiento       </t>
  </si>
  <si>
    <t>: Recubrimiento</t>
  </si>
  <si>
    <t>:El espesor de losa adoptado</t>
  </si>
  <si>
    <t>Elegimos el tipo de losa a usar :</t>
  </si>
  <si>
    <t xml:space="preserve"> As (cm2/m)</t>
  </si>
  <si>
    <t>MALLA DE ACERO EN AMBAS DIRECCIONES</t>
  </si>
  <si>
    <t>Calculamos Acv :</t>
  </si>
  <si>
    <t>Calculamos pn :</t>
  </si>
  <si>
    <t xml:space="preserve">αc  = </t>
  </si>
  <si>
    <t>e2 :</t>
  </si>
  <si>
    <t>e3 :</t>
  </si>
  <si>
    <t>e4 :</t>
  </si>
  <si>
    <t>VERDE</t>
  </si>
  <si>
    <t>AZUL</t>
  </si>
  <si>
    <t>L2 :</t>
  </si>
  <si>
    <t>|</t>
  </si>
  <si>
    <t>DEL ESTUDIO DE SUELOS</t>
  </si>
  <si>
    <r>
      <t xml:space="preserve">q </t>
    </r>
    <r>
      <rPr>
        <b/>
        <vertAlign val="subscript"/>
        <sz val="10"/>
        <color rgb="FFFF00FF"/>
        <rFont val="Arial"/>
        <family val="2"/>
      </rPr>
      <t>s:</t>
    </r>
  </si>
  <si>
    <t>Calculamos αc :</t>
  </si>
  <si>
    <r>
      <rPr>
        <u/>
        <sz val="10"/>
        <color theme="1"/>
        <rFont val="Arial"/>
        <family val="2"/>
      </rPr>
      <t>hw</t>
    </r>
    <r>
      <rPr>
        <sz val="10"/>
        <color theme="1"/>
        <rFont val="Arial"/>
        <family val="2"/>
      </rPr>
      <t xml:space="preserve">   =</t>
    </r>
  </si>
  <si>
    <t>ɸVn =</t>
  </si>
  <si>
    <t>C:</t>
  </si>
  <si>
    <t>Cohesion del suelo</t>
  </si>
  <si>
    <t>Υs :</t>
  </si>
  <si>
    <t>α :</t>
  </si>
  <si>
    <t>:Ang. de la supercie del relleno con la horizontal</t>
  </si>
  <si>
    <t>:Ang. del trasdos del muro y la horizontal</t>
  </si>
  <si>
    <t>β :</t>
  </si>
  <si>
    <t>:Recubrimiento del acero</t>
  </si>
  <si>
    <t>:Ang. friccion interna del suelo de relleno</t>
  </si>
  <si>
    <t>DEL MURO</t>
  </si>
  <si>
    <t>:Sobrecarga sobre el terreno de relleno</t>
  </si>
  <si>
    <t>2. CONSIDERACIONES GENERALES:</t>
  </si>
  <si>
    <t>DE LOS MATERIALES</t>
  </si>
  <si>
    <t>:Peso especifico del agua</t>
  </si>
  <si>
    <t>:Altura de agua contenida en el recipiente</t>
  </si>
  <si>
    <t>DEL AGUA CONTENIDA</t>
  </si>
  <si>
    <t>DEL NIVEL FREATICO</t>
  </si>
  <si>
    <t>Hf :</t>
  </si>
  <si>
    <t>: Altura de nivel freatico</t>
  </si>
  <si>
    <t>:Ang. De friccion entre el suelo y el muro</t>
  </si>
  <si>
    <t>Hent :</t>
  </si>
  <si>
    <t>: Altura enterrada del muro</t>
  </si>
  <si>
    <t>Df :</t>
  </si>
  <si>
    <t>Profundidad de desplante</t>
  </si>
  <si>
    <t>FUENTE: SUELOS, FUNDACIONES Y MUROS  -  DRA. ING. MARIA GRACIELA FRATELLI</t>
  </si>
  <si>
    <t xml:space="preserve">La teoria general del empuje de tierras se basa en los esfuerzos que se originan en la masa semi-infinita de suelo, donde a profundidad "Z" de la superficie, para un </t>
  </si>
  <si>
    <t>elemento diferencial, los esfuerzos verticales "δv" resultan: δv =yZ para suelo seco. Cuando hay agua subterranea: δv =yZ -u, donde u representa el esfuerzo neutro</t>
  </si>
  <si>
    <t>En la practica, es inevitable que se produsca algun tipo de movimiento del muro, el cual origina empujes activos o pasivos en el suelo.</t>
  </si>
  <si>
    <t>En el caso del empuje activo el muro se aleja de la masa del suelo y este se comienza a expandirse lateralmente, manteniendo constante el esfuerzo δv.</t>
  </si>
  <si>
    <t xml:space="preserve">Para la combinacion de esfuerzos δv y δa, la masa del suelo no mantiene mas sus caracteristicas elasticas, sino que alcanza la falla por cortante según el </t>
  </si>
  <si>
    <t xml:space="preserve">esquema mostrado, debido a ello el nivel superior inicial del suelo desciende y el empuje lateral cotra el muro disminuye a su misma magnitud. Esta condicion de </t>
  </si>
  <si>
    <t>deformaciones, para pequeños aumentos de esfuerzos.</t>
  </si>
  <si>
    <t xml:space="preserve">esfuerzos se conoce como de equilibrio plastico para el empuje activo. A partir de alli, la condicion de cedencia o flujo plastico del suelo da lugar a grandes </t>
  </si>
  <si>
    <t xml:space="preserve">Se muestra a continucion las envolventes de falla de Mohr para el empuje activo en suelos mixtos, con cohesion ≠0 y  friccion ≠ 0(fig. a) y en suelos cohesivos </t>
  </si>
  <si>
    <t>cuando Ø=0°(fig. b), como es el caso de las arcillas saturadas.</t>
  </si>
  <si>
    <t>En la altura "Z" dada en la imagen, se produce traccion. Sin embargo, como el suelo no es capaz de resistir traccion, las arcillas se separan del muro en esa altura,</t>
  </si>
  <si>
    <t>agrietadose. Por ello, el empuje activo solo es efectivo por debajo del nivel donde el diagrama de presiones indica δa=0, es decir en la altura " H-Z".</t>
  </si>
  <si>
    <t xml:space="preserve">Sin embargo con el paso del tiempo, as grietas de la arcilla se saturan de agua, la cual ejerce un empuje adicional sobre el muro, que debe tomarse en cuenta en el </t>
  </si>
  <si>
    <t>analisis, si no se prevee un adecuado drenaje.</t>
  </si>
  <si>
    <t>TEORIA DE COULOMB</t>
  </si>
  <si>
    <t>La teoria de Coulomb referente al empuje de tierras, se basa en las siguientes hipotesis:</t>
  </si>
  <si>
    <t>El suelo es una masa isótropa y homogénea, con fricción interna y cohesión.</t>
  </si>
  <si>
    <t>La superficie de falla es plana (si bien esto no es exacto, simplifica mucho la aplicación de la teoría).</t>
  </si>
  <si>
    <t>Las fuerzas de fricción se distribuyen uniformemente a lo largo del plano de falla, siendo "Ø " el angulo de friccion interna del suelo.</t>
  </si>
  <si>
    <t>La cuña de falla se comporta como un cuerpo rigido.</t>
  </si>
  <si>
    <t>δ :</t>
  </si>
  <si>
    <t>Υc :</t>
  </si>
  <si>
    <t>Υa' :</t>
  </si>
  <si>
    <t>Υa :</t>
  </si>
  <si>
    <t>Υgr :</t>
  </si>
  <si>
    <t xml:space="preserve">La cuña de falla se mueve a lo largo de la pared interna del muro, produciendo friccion entre este y el suelo. δ es el angulo de friccion entre el suelo y </t>
  </si>
  <si>
    <t>el muro, tambien conocido como angulo de rugosidad del muro</t>
  </si>
  <si>
    <t>La falla es un problema de deformacion plana, y el muro se considera de longitud infinita.</t>
  </si>
  <si>
    <t>con aceite  δ = 0.</t>
  </si>
  <si>
    <t>a)</t>
  </si>
  <si>
    <t>b)</t>
  </si>
  <si>
    <t>c)</t>
  </si>
  <si>
    <t>d)</t>
  </si>
  <si>
    <t>e)</t>
  </si>
  <si>
    <t>f)</t>
  </si>
  <si>
    <t xml:space="preserve">Para superficies parcialmente rugosas de concreto: δ = Ø/3  o   2Ø/3 y en piedras rugosas δ = Ø y cuando la superficie del muro es lisa, pulida o ha sido pintada </t>
  </si>
  <si>
    <t>Las ecuaciones para hallar los empujes activo y pasivo de tierras, según la teoria de Coulomb son:</t>
  </si>
  <si>
    <t>senα</t>
  </si>
  <si>
    <t>sen (α+Φ)</t>
  </si>
  <si>
    <t>sen (α-δ)</t>
  </si>
  <si>
    <t>sen (Φ+δ)</t>
  </si>
  <si>
    <t>sen (Φ-β)</t>
  </si>
  <si>
    <t>sen (α+β)</t>
  </si>
  <si>
    <t>ka</t>
  </si>
  <si>
    <t xml:space="preserve">  </t>
  </si>
  <si>
    <t>: Peso especifico del suelo saturado</t>
  </si>
  <si>
    <t>EMPUJE EN SUELOS COHESIVOS</t>
  </si>
  <si>
    <t>empujes pasivo y activo  para suelos mixtos pueden expresarse de la siquiente manera:</t>
  </si>
  <si>
    <t>IMAGEN DE LA FORMA DE APLIACION DEL ESFUERZO ACTIVO EN SUELOS COHESIVOS</t>
  </si>
  <si>
    <t>EMPUJE POR SOBRECARGA</t>
  </si>
  <si>
    <t>Las teorias de Coulomb o Rankine, no incluyen la influencia de la cohesion en la determinacion de los empujes laterales de tierras. Cuando se la toma en cuenta,  los</t>
  </si>
  <si>
    <t>Sobre la cuña del suelo que produce empujes  pueden actuar sobrecargas de diferentes tipos: distribuidas o concentradas, las cuales provocan empujes adicionales</t>
  </si>
  <si>
    <t>sobre los muros, que deben tomarse en cuenta en el diseño. Esas sobrecargas son ocasionadas generalmente por el acopio de materiales, construcciones cercanas,</t>
  </si>
  <si>
    <t>pasod e vehiculos, depositos de liquidos, equipos de construccion, etc.</t>
  </si>
  <si>
    <r>
      <t xml:space="preserve">el efecto del empuje vertical por peso </t>
    </r>
    <r>
      <rPr>
        <b/>
        <sz val="11"/>
        <color theme="1"/>
        <rFont val="Arial"/>
        <family val="2"/>
      </rPr>
      <t>W'</t>
    </r>
    <r>
      <rPr>
        <sz val="11"/>
        <color theme="1"/>
        <rFont val="Arial"/>
        <family val="2"/>
      </rPr>
      <t xml:space="preserve"> </t>
    </r>
  </si>
  <si>
    <t>Ka=</t>
  </si>
  <si>
    <t>Kp=</t>
  </si>
  <si>
    <t>sen (α-Φ)</t>
  </si>
  <si>
    <t>sen (α+δ)</t>
  </si>
  <si>
    <t>sen (Φ+β)</t>
  </si>
  <si>
    <t>kp</t>
  </si>
  <si>
    <t>raiz</t>
  </si>
  <si>
    <t>ok</t>
  </si>
  <si>
    <t>De la teoria de Coulomb tenemos para nuestro caso de estudio:</t>
  </si>
  <si>
    <t>H=</t>
  </si>
  <si>
    <t>ton</t>
  </si>
  <si>
    <t xml:space="preserve">Para nuestro modelo haremos uso del empuje activo, considerando que el muro del recipiente se deflectara </t>
  </si>
  <si>
    <t>en una cantidad muy pequeña :</t>
  </si>
  <si>
    <t>Cuando : α&lt;90° ; debe de agregarse</t>
  </si>
  <si>
    <t xml:space="preserve">VISTA DE LA CARGA APLICADA EN EL MODELO </t>
  </si>
  <si>
    <t>De lo indicado por la  Dra. Ing. MARIA GRACIELA FRATELLI</t>
  </si>
  <si>
    <t>Entonces tenemos que la carga a aplicar en forma triangular en nuestro modelo es:</t>
  </si>
  <si>
    <t>Haciendo uso de la herramienta Joint  Pattern:  Valor =Ax+By+Cz+D simulamos el empuje del suelo:</t>
  </si>
  <si>
    <t>z:</t>
  </si>
  <si>
    <t>La fuerza ejercida por la cohesion actua en sentido</t>
  </si>
  <si>
    <t xml:space="preserve">contrario al empuje del suelo en forma constante </t>
  </si>
  <si>
    <t>y la altura max. donde se producira la fisura por traccion:</t>
  </si>
  <si>
    <t>La cohesion actua de dicha forma hasta producirse la fisura por traccion en el suelo, en este estado</t>
  </si>
  <si>
    <t>la presion activa del suelo cambia:</t>
  </si>
  <si>
    <t>Pa rotura:</t>
  </si>
  <si>
    <t>σa :</t>
  </si>
  <si>
    <t>Pa rotura, se calcula para la zona no fisurada donde:</t>
  </si>
  <si>
    <t>Hnofisu=</t>
  </si>
  <si>
    <t>α=</t>
  </si>
  <si>
    <t>σW'=</t>
  </si>
  <si>
    <t>en direccion de la gravedad</t>
  </si>
  <si>
    <t>W' =</t>
  </si>
  <si>
    <t>es el empuje en direccion de la gravedad</t>
  </si>
  <si>
    <t xml:space="preserve">:Altura </t>
  </si>
  <si>
    <t xml:space="preserve">Peso especifico </t>
  </si>
  <si>
    <t xml:space="preserve">DEL MATERIAL CONTENIDO </t>
  </si>
  <si>
    <t>El material contenido dentro del tanque ocasiona un empuje a la pared, la cual se calcula de la siguiente manera:</t>
  </si>
  <si>
    <t>Emat=</t>
  </si>
  <si>
    <t>en direccion perperdicular a la pared del tanque</t>
  </si>
  <si>
    <t>contraria al empuje del suelo.</t>
  </si>
  <si>
    <t>Asi tambien como existe este empuje, tambien hay el peso del material</t>
  </si>
  <si>
    <t>Wmat=</t>
  </si>
  <si>
    <t>contenido, el cual actuara en direccion de la gravedad en el fondo del embalse:</t>
  </si>
  <si>
    <t>, en direccion del empuje del suelo</t>
  </si>
  <si>
    <t xml:space="preserve">La  Presión  del  agua  se  repartirá  en  la  pared  del embalse  recordando  que  este  actúa  en  forma  triangular teniendo la máxima carga al fondo de la estructura. </t>
  </si>
  <si>
    <t>La  carga  a  asignar  será  el  peso  específico  del  líquido  contenido en el embalse repartidos dependiendo de la altura de donde esté actuando el líquido y disipándose hacia</t>
  </si>
  <si>
    <t>Asi tambien como existe este empuje hidrostatico, tambien hay el peso del agua</t>
  </si>
  <si>
    <t xml:space="preserve"> la parte mal alta del embalse, se calculara de la siguiente forma:</t>
  </si>
  <si>
    <t xml:space="preserve">Este método considera la aplicación de aceleraciones pseudo-estáticas, tanto horizontales como verticales, a la cuña activa de Coulomb. </t>
  </si>
  <si>
    <t xml:space="preserve">El empuje de suelos pseudo-estático se obtiene entonces a partir del equilibrio de la cuña. </t>
  </si>
  <si>
    <t xml:space="preserve">Las fuerzas actuando sobre una cuña activa, en el caso de un suelo seco sin cohesión, se muestra en la Figura. </t>
  </si>
  <si>
    <t xml:space="preserve">Además de las fuerzas que existen bajo condiciones estáticas, sobre la cuña también actúan fuerzas pseudo-estáticas horizontales y verticales cuyas magnitudes están </t>
  </si>
  <si>
    <t xml:space="preserve">relacionadas con la masa de la cuña mediante aceleraciones pseudo-estáticas: </t>
  </si>
  <si>
    <t>ah=Kh*g  y av = Kv*g</t>
  </si>
  <si>
    <t xml:space="preserve">El empuje activo total puede ser expresado en forma similar al desarrollado para las condiciones estáticas, esto es: </t>
  </si>
  <si>
    <t xml:space="preserve">Aunque el método M-O implica que el empuje activo total debería actuar en un punto H/3 sobre la base del muro de altura H , resultados experimentales sugieren que, bajo </t>
  </si>
  <si>
    <t xml:space="preserve">condiciones de carga dinámica, éste actúa en un punto superior. </t>
  </si>
  <si>
    <t xml:space="preserve">Con este supuesto, el empuje activo total actuará a la altura: </t>
  </si>
  <si>
    <t xml:space="preserve">El componente estático se sabe que actúa a H /3 sobre la base del muro. Seed y Whitman (1970) recomendaron </t>
  </si>
  <si>
    <t xml:space="preserve">que el componente dinámico se considere actuando aproximadamente a 0.6H . </t>
  </si>
  <si>
    <t>sobre la base del muro.</t>
  </si>
  <si>
    <r>
      <t xml:space="preserve">El método que surge de esta consideración se denomina </t>
    </r>
    <r>
      <rPr>
        <b/>
        <sz val="10"/>
        <color rgb="FF000000"/>
        <rFont val="Arial"/>
        <family val="2"/>
      </rPr>
      <t xml:space="preserve">Método de Mononobe - Okabe Modificado. </t>
    </r>
  </si>
  <si>
    <r>
      <rPr>
        <b/>
        <sz val="10"/>
        <color rgb="FF000000"/>
        <rFont val="Arial"/>
        <family val="2"/>
      </rPr>
      <t xml:space="preserve">En el método modificado, </t>
    </r>
    <r>
      <rPr>
        <sz val="10"/>
        <color rgb="FF000000"/>
        <rFont val="Arial"/>
        <family val="2"/>
      </rPr>
      <t xml:space="preserve">el empuje activo total "PAE" , puede ser dividido en un componente estático "PA "  y un componente dinámico " ΔPAE" : </t>
    </r>
  </si>
  <si>
    <t>De la teoria de Mononobe -Okabe tenemos para nuestro caso de estudio:</t>
  </si>
  <si>
    <t>KAE=</t>
  </si>
  <si>
    <t>ψ=</t>
  </si>
  <si>
    <t>Kh=</t>
  </si>
  <si>
    <t>Kv=</t>
  </si>
  <si>
    <t xml:space="preserve">El coeficiente sísmico en la dirección horizontal, kh, es la división de la aceleración horizontal máxima del entre la aceleración de la gravedad. Asimismo, el coeficiente sísmico en </t>
  </si>
  <si>
    <t>la dirección vertical, kv, se define como la aceleración vertical máxima entre la aceleración de la gravedad.</t>
  </si>
  <si>
    <t>DEL ESTUDIO DE MECANICA DE SUELOS:</t>
  </si>
  <si>
    <t>kh =</t>
  </si>
  <si>
    <t>ϴ</t>
  </si>
  <si>
    <t>Φ</t>
  </si>
  <si>
    <t>α</t>
  </si>
  <si>
    <t>ψ</t>
  </si>
  <si>
    <t>β</t>
  </si>
  <si>
    <t>δ</t>
  </si>
  <si>
    <t>cos(Φ-ϴ-ψ)</t>
  </si>
  <si>
    <t>cos2</t>
  </si>
  <si>
    <t>cos(ψ)</t>
  </si>
  <si>
    <t>cos(ϴ)</t>
  </si>
  <si>
    <t>cos(δ+ϴ+ψ)</t>
  </si>
  <si>
    <t>sin(δ+Φ)</t>
  </si>
  <si>
    <t>sin(Φ-β-ψ)</t>
  </si>
  <si>
    <t>cos(β-ϴ)</t>
  </si>
  <si>
    <t>cos*cos2*cos</t>
  </si>
  <si>
    <t>(1+raiz)2</t>
  </si>
  <si>
    <t>kae</t>
  </si>
  <si>
    <t>empuje Activo</t>
  </si>
  <si>
    <t xml:space="preserve">el empuje por cohesion es: </t>
  </si>
  <si>
    <t>El empuje por sobrecarga total es :</t>
  </si>
  <si>
    <t>Psc=</t>
  </si>
  <si>
    <t>ADICIONAR</t>
  </si>
  <si>
    <t>CUANDO</t>
  </si>
  <si>
    <t>DONDE</t>
  </si>
  <si>
    <t>Ehidr=</t>
  </si>
  <si>
    <t>Hag:</t>
  </si>
  <si>
    <t>Asi mismo el Ing. Rafael A. Torres B. en su publicacion muros de contencion recomienda que kh = 0.50 Ao y kv= 0.70Kh, sonde Ao se obtiene de los factores de Zonificacion.</t>
  </si>
  <si>
    <t xml:space="preserve">Asi mismo tambien en la bibliografia : PUENTES CON AASHTO-LRFD 2010 (5TA EDIC. ) por Mc. Ing. Arturo Rodriguez Serquen, se indca: </t>
  </si>
  <si>
    <t>cos(Φ+ϴ-ψ)</t>
  </si>
  <si>
    <t>ω=ϴ</t>
  </si>
  <si>
    <t>cos(δ-ϴ+ψ)</t>
  </si>
  <si>
    <t>sin(Φ+β-ψ)</t>
  </si>
  <si>
    <t>(1-raiz)2</t>
  </si>
  <si>
    <t>kpe</t>
  </si>
  <si>
    <t>PAE:</t>
  </si>
  <si>
    <t>De lo cual tenemos para el empuje activo por sismo ΔEAD :</t>
  </si>
  <si>
    <t>ΔEAD :</t>
  </si>
  <si>
    <t>entonces la carga aplicada al modelo sera:</t>
  </si>
  <si>
    <t xml:space="preserve">El analisis sismico es algo sumamente ncesario en nuestra realidad por encontrarnos en una zona de falla, siendo muy propensos a sismos de gran intensidad. </t>
  </si>
  <si>
    <t xml:space="preserve">La presión lateral del terreno en estructuras de retención, es amplificada en caso de sismos debido a la aceleración horizontal de la masa retenida de terreno. En caso de </t>
  </si>
  <si>
    <t xml:space="preserve">estructuras de retención altas (H&gt;10 m) como es el caso de estribos, las cargas sísmicas deben contemplarse, usándose a menudo la solución de Mononobe - Okabe. </t>
  </si>
  <si>
    <t xml:space="preserve">El coeficiente de aceleración horizontal positivo causa que el </t>
  </si>
  <si>
    <t xml:space="preserve">empuje pasivo total sea menos que el empuje pasivo estático. </t>
  </si>
  <si>
    <t xml:space="preserve">empuje activo total exceda al  empuje activo estático y  que el </t>
  </si>
  <si>
    <t>KPE =</t>
  </si>
  <si>
    <t>Pca:</t>
  </si>
  <si>
    <t>Pcp:</t>
  </si>
  <si>
    <t>: Empuje  activo por cohesion</t>
  </si>
  <si>
    <t>: Empuje pasivo por cohesion</t>
  </si>
  <si>
    <t>Carga Activa</t>
  </si>
  <si>
    <t>Carga Pasiva</t>
  </si>
  <si>
    <t>Pp:</t>
  </si>
  <si>
    <t>empuje Pasivo</t>
  </si>
  <si>
    <t xml:space="preserve">El empuje del suelo se deberá considerar en función de los siguientes factores: tipo y densidad del suelo, contenido de agua, características de fluencia lenta del suelo, </t>
  </si>
  <si>
    <t xml:space="preserve">grado de compactación, ubicación del nivel freático, interacción suelo estructura, cantidad de sobrecarga, efectos sísmicos, pendiente del relleno, e inclinación del muro. </t>
  </si>
  <si>
    <t xml:space="preserve"> del agua. Los empujes estan referidos al movimiento lateral que sufre el muro, bajo las presiones que le impone la masa del suelo:</t>
  </si>
  <si>
    <t>Considerando la calidad del material asignado (Concreto F'c = 210 Kg/cm²) se ha asignado el peso correspondiente a traves del programa de calculo usado.</t>
  </si>
  <si>
    <t xml:space="preserve">ANDRES BALLON BENAVENTE , JOSE FRANCISCO ECHENIQUE SOSA : TESIS "ANALISIS DE ESTABILIDAD DE MUROS DE CONTENCION DE ACUERDO </t>
  </si>
  <si>
    <t>A LAS ZONAS SISMICAS DEL PERU", 2017.</t>
  </si>
  <si>
    <t>JUAN GMO. VALENZUELA B. : DISEÑO SISMICO DE MUROS DE CONTENCION.</t>
  </si>
  <si>
    <t>DRA. ING. MARIA GRACIELA FRATELLI : SUELOS, FUNDACIONES Y MUROS.</t>
  </si>
  <si>
    <t>MC ING. ARTURO RODRIGUEZ SERQUEN : PUENTES CON AASHTO - LRFD, 2010 (5TA EDICION).</t>
  </si>
  <si>
    <t>MTC : MANUAL DE PUENTES, 2018.</t>
  </si>
  <si>
    <t>ACI 318 – 2014 Building Code Requirements for Reinforced Concrete.</t>
  </si>
  <si>
    <t>ING. AUGUSTO JOSE LEONI: APUNTE DE COEFICIENTE DE BALASTO.</t>
  </si>
  <si>
    <t>KENEDY CARDENAS SOCUALAYA: TESIS "CARACTERIZACION DE SUELOS PARA LA OBTENCION DE COEFICIENTE DE BALASTO, DISTRITO SAN AGUSTIN</t>
  </si>
  <si>
    <t>DE CAJAS, AÑO 2017."</t>
  </si>
  <si>
    <t>3.NORMATIVIDAD</t>
  </si>
  <si>
    <t>-</t>
  </si>
  <si>
    <t xml:space="preserve">4.1. EMPUJE DE SUELOS </t>
  </si>
  <si>
    <t>4.1.1.1. EMPUJE ACTIVO</t>
  </si>
  <si>
    <t>4.1.1. EMPUJE DE SUELOS - CASO ESTATICO</t>
  </si>
  <si>
    <t xml:space="preserve">4. CARGAS ASIGNADAS AL MODELO </t>
  </si>
  <si>
    <t>4.1.2.  EMPUJE DE SUELOS  - CASO PSEUDOESTATICO</t>
  </si>
  <si>
    <t>4.1.2.1. METODO DE MONONOBE - OKABE (M-O)</t>
  </si>
  <si>
    <t>4.2. EMPUJE DEL MATERIAL CONTENIDO DENTRO DEL EMBALSE</t>
  </si>
  <si>
    <t>4.3 EMPUJE HIDROSTATICO</t>
  </si>
  <si>
    <t>4.4. PESO PROPIO :</t>
  </si>
  <si>
    <t>Se sigue las disposiciones de los Reglamentos y Normas Nacionales e Internacionales descritos a continuación:</t>
  </si>
  <si>
    <t>Así también se sigue los lineamientos de las siguientes bibliografías:</t>
  </si>
  <si>
    <t xml:space="preserve">5. DISEÑO DE LOS ELEMENTOS ESTRUCTURALES </t>
  </si>
  <si>
    <t>5.1.REQUISITOS GENERALES DE RESISTENCIA</t>
  </si>
  <si>
    <t>5.2.  DISEÑO DE LOS MUROS</t>
  </si>
  <si>
    <t>5.2.1.VERIFICACION POR CORTANTE</t>
  </si>
  <si>
    <t xml:space="preserve">5.2.2.REFUERZO FLEXION HORIZONTAL </t>
  </si>
  <si>
    <t>5.2.3.REFUERZO FLEXION VERTICAL</t>
  </si>
  <si>
    <t>5.2.4. TENSION DIRECTA</t>
  </si>
  <si>
    <t>5.2.5.COMPRESION DIRECTA</t>
  </si>
  <si>
    <t>5.2.6. REVISION DE AGRIETAMIENTO</t>
  </si>
  <si>
    <t>5.2.7. ACEROS COLOCADOS</t>
  </si>
  <si>
    <t xml:space="preserve">5.2.7.1. REFUERZO  HORIZONTAL </t>
  </si>
  <si>
    <t>5.2.7.2. REFUERZO  VERTICAL</t>
  </si>
  <si>
    <t>5.3. DISEÑO DE LA LOSA DE FONDO</t>
  </si>
  <si>
    <t>As axial/2 + As flex                            As (cm2/m)</t>
  </si>
  <si>
    <t>ROJO</t>
  </si>
  <si>
    <t>MORADO</t>
  </si>
  <si>
    <t>1. DESCRIPCION DE LA ESTRUCTURA</t>
  </si>
  <si>
    <t>Para nuestro caso para un analisis mas critico del empuje activo obiaremos la presion ejercida por cohesion.</t>
  </si>
  <si>
    <t xml:space="preserve">         Lb/ft</t>
  </si>
  <si>
    <t xml:space="preserve">:Espesor de muro menos recubrimiento         </t>
  </si>
  <si>
    <t>Para poder hacer la verificacion de la presion en el suelo, debemos de revisar las siguientes tablas donde:</t>
  </si>
  <si>
    <t>FUETE: KENEDY CARDENAS SOCUALAYA: TESIS "CARACTERIZACION DE SUELOS PARA LA OBTENCION DE COEFICIENTE DE BALASTO"</t>
  </si>
  <si>
    <t>Con el cual ya que nuestra capacidad portante es de  :</t>
  </si>
  <si>
    <t>y el suelo que se presenta es :</t>
  </si>
  <si>
    <t>tenemos :</t>
  </si>
  <si>
    <t>K=</t>
  </si>
  <si>
    <t>Desplazamiento maximo es :</t>
  </si>
  <si>
    <t>cm</t>
  </si>
  <si>
    <t>presion en el suelo es :</t>
  </si>
  <si>
    <t>: coeficiente de balasto adoptado</t>
  </si>
  <si>
    <t>entonces :</t>
  </si>
  <si>
    <t>VOL AGUA</t>
  </si>
  <si>
    <t>SOBRECARGA</t>
  </si>
  <si>
    <t>PESO DEL AGUA</t>
  </si>
  <si>
    <t>:Momento en la losa</t>
  </si>
  <si>
    <t>:Momento en  la losa</t>
  </si>
  <si>
    <t>U3 = 1.25D+1.25L+1.25F+S</t>
  </si>
  <si>
    <t>U4 = 1.25D+1.25L+1.25F-S</t>
  </si>
  <si>
    <t>U5 = 1.4D+1.7L+1.7EA</t>
  </si>
  <si>
    <t>U6 = 1.25D+1.25L+1.25EA+S</t>
  </si>
  <si>
    <t>U7 = 1.25D+1.25L+1.25EA-S</t>
  </si>
  <si>
    <t xml:space="preserve">   </t>
  </si>
  <si>
    <t>DISTRIBUCION DEL REFUERZO VERTICAL</t>
  </si>
  <si>
    <t>: F22 max positivo del analisis en SAP2000, la tension es adoptada por el acero</t>
  </si>
  <si>
    <t>: Compresion ultima - Afectado por el factor de durabilidad</t>
  </si>
  <si>
    <t>convertimos f'c y fy de kg/cm2  a Psi :</t>
  </si>
  <si>
    <t>: Cortante tangencial maximo  = Vfinal</t>
  </si>
  <si>
    <t>: Coeficiente de reduccion     =</t>
  </si>
  <si>
    <t>:Espesor de muro menos recubrimiento                         Re :</t>
  </si>
  <si>
    <t>Resolviendo la Ecuación:</t>
  </si>
  <si>
    <t>Finalmente el As a usar es:</t>
  </si>
  <si>
    <t>f'c   =</t>
  </si>
  <si>
    <t>Kg/cm/cm2</t>
  </si>
  <si>
    <t>5.3.1. VERIFICACION DE LA CAPACIDAD PORTANTE Y DESPLAZAMIENTOS</t>
  </si>
  <si>
    <t>5.3.2. ZONA DE LA ZAPATA</t>
  </si>
  <si>
    <t>5.3.3. ZONA DE LA LOSA DE FONDO</t>
  </si>
  <si>
    <t>X</t>
  </si>
  <si>
    <t>La distribucion de acero que se adoptara y que cumple con los calculos realizados es:</t>
  </si>
  <si>
    <t>PESO DEL MATERIAL CONTENIDO</t>
  </si>
  <si>
    <t>Se aplicara el peso de los acabados correspondientes para la losa de techo :</t>
  </si>
  <si>
    <t>P:</t>
  </si>
  <si>
    <t>4.5. SOBRECARGA :</t>
  </si>
  <si>
    <t xml:space="preserve">Es el peso de todos los ocupantes, materiales, equipos, muebles y otros elementos movibles soportados por la losa en su etapa de construccion y post construccion. </t>
  </si>
  <si>
    <t>Para este caso tendremos :</t>
  </si>
  <si>
    <t>SC:</t>
  </si>
  <si>
    <t>5.4. DISEÑO DE LA LOSA DE TECHO</t>
  </si>
  <si>
    <t>5.5. DISTRIBUCION DE ACERO</t>
  </si>
  <si>
    <t>Se realizara el diseño de la losa de techo afectada por los diferentes esfuerzos presentes en ella, producto de la envolvente de esfuerzos presentes en la estructura.</t>
  </si>
  <si>
    <t>La losa correspondiente del proyecto es una losa maciza apoyada directamente sobre las paredes de la estructura, por ende soportara esfuerzos en ambas direcciones y asi mismo</t>
  </si>
  <si>
    <t>se verificara la deflexion de la misma.</t>
  </si>
  <si>
    <t>Asi mismo se predimensiona la losa teniendo en cuenta la siguiente tabla de la NORMA E.060 CONCRETO ARMADO  :</t>
  </si>
  <si>
    <t>La deflexion maxima permisible en la losa de concreto maciza es de :</t>
  </si>
  <si>
    <t>Lmy:</t>
  </si>
  <si>
    <t>Lmx:</t>
  </si>
  <si>
    <t>: Longitud de la losa sin apoyo en al direccion X-X.</t>
  </si>
  <si>
    <t>: Longitud de la losa sin apoyo en al direccion Y-Y.</t>
  </si>
  <si>
    <t>caso 1:</t>
  </si>
  <si>
    <t>Deflex:</t>
  </si>
  <si>
    <t>Deflexion inmediata permisible debido a cargas vivas :</t>
  </si>
  <si>
    <t>caso 2:</t>
  </si>
  <si>
    <t>Deflexion a largo plazo debida a todas las cargas permanentes y</t>
  </si>
  <si>
    <t xml:space="preserve"> debida a cualquier carga viva adicional:</t>
  </si>
  <si>
    <t>De la verificacion de las maximas deflexiones permisibles, se constata lo siguiente:</t>
  </si>
  <si>
    <t>CASO 1 :</t>
  </si>
  <si>
    <t>CASO 2 :</t>
  </si>
  <si>
    <t>El espesor de la losa min es :</t>
  </si>
  <si>
    <t>E1:</t>
  </si>
  <si>
    <t>E2:</t>
  </si>
  <si>
    <t>Sin abacos y en paneles interiores</t>
  </si>
  <si>
    <t>inciso 9.6.3.2 :</t>
  </si>
  <si>
    <t>De los cuales se opto por un espesor de :</t>
  </si>
  <si>
    <t>Elosa:</t>
  </si>
  <si>
    <t>Asi mismo se deberan verificar las deflexiones en la losa y si son mayores se debera incrementar el espesor de la losa.</t>
  </si>
  <si>
    <t>5.4.1. DISEÑO DE LOSA MACIZA</t>
  </si>
  <si>
    <t>As axial + As flex                 As (cm2/m)</t>
  </si>
  <si>
    <t>e5 :</t>
  </si>
  <si>
    <t>0.25X0.30m</t>
  </si>
  <si>
    <t>NARANJA</t>
  </si>
  <si>
    <t>VIGAS</t>
  </si>
  <si>
    <t>VERDE OSCURO</t>
  </si>
  <si>
    <t>LOSA REMOBIBLE</t>
  </si>
  <si>
    <t>MUROS PERIMETRALES</t>
  </si>
  <si>
    <t>MUROS INTERIORES</t>
  </si>
  <si>
    <t>LOSA DE TECHO</t>
  </si>
  <si>
    <t>LOSA DE FONDO</t>
  </si>
  <si>
    <t>:ANCHO TOTAL</t>
  </si>
  <si>
    <t>:LARGO TOTAL</t>
  </si>
  <si>
    <t>e6 :</t>
  </si>
  <si>
    <t>VOLUMEN DEL MATERIAL</t>
  </si>
  <si>
    <t>AREA LOSA</t>
  </si>
  <si>
    <t>PESO MATERIAL</t>
  </si>
  <si>
    <t>PESO XM2</t>
  </si>
  <si>
    <t>AREA LOSA FOND</t>
  </si>
  <si>
    <t>PESOXM2</t>
  </si>
  <si>
    <t>PESO AGUA</t>
  </si>
  <si>
    <t>PESOSUELOXAREA</t>
  </si>
  <si>
    <t>PESO DEL SUELO</t>
  </si>
  <si>
    <t>PESO LODOS</t>
  </si>
  <si>
    <t>SOBRXAREA</t>
  </si>
  <si>
    <t>Para  todas  las  combinaciones  de  carga  se  tendrá  en  cuenta  los  factores  de  durabilidad sanitaria de 1.30 para flexión, de 1.65 para Tensión y de 1.30 para cortante .</t>
  </si>
  <si>
    <t xml:space="preserve">Circular Concrete Tanks Without Prestressing , Section 2: </t>
  </si>
  <si>
    <t>e7 :</t>
  </si>
  <si>
    <t>GRIS</t>
  </si>
  <si>
    <t>ZAPATA</t>
  </si>
  <si>
    <t xml:space="preserve">Un pozo séptico separa y procesa los residuos, desde los desechos que caen en el tanque, hasta los sólidos pesados que se asientan en el fondo, formando una capa de lodo. </t>
  </si>
  <si>
    <t xml:space="preserve">Las grasas, aceites y sólidos más ligeros pueden flotar a la superficie, creando una capa de suciedad. El área entre ambas capas se llena de aguas residuales que puede fluir </t>
  </si>
  <si>
    <t>hasta la salida del sistema de drenaje.</t>
  </si>
  <si>
    <t>Dentro del pozo, microorganismos anaeróbicos y facultativos se alimentan de los sólidos dentro del lodo y las aguas residuales,  quebrando su volumen. Este proceso crea gases,</t>
  </si>
  <si>
    <t xml:space="preserve"> dióxido de carbono, sulfuro de hidrógeno, entre otros que salen a través del conducto colocado en el techo del pozo séptico.</t>
  </si>
  <si>
    <t>VISTA DEL POZO SEPTICO CONSIDERADO EN EL PROYECTO</t>
  </si>
  <si>
    <t>:El espesor adoptado</t>
  </si>
  <si>
    <t>SE DEBE TENER EN CUENTA QUE POR AGRIETAMIENTO LA SEPARACION MAXIMA DE ACERO DE</t>
  </si>
  <si>
    <t xml:space="preserve">PULG., ES DE </t>
  </si>
  <si>
    <t xml:space="preserve"> POR ENDE USAREMOS</t>
  </si>
  <si>
    <t xml:space="preserve">UNA SEPARACION MAXIMA DE </t>
  </si>
  <si>
    <t>DISEÑO ESTRUCTURAL DEL TANQUE SEPTICO</t>
  </si>
  <si>
    <t>Limo arenoso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</si>
</sst>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64" formatCode="0.000"/>
    <numFmt numFmtId="165" formatCode="0.0000"/>
    <numFmt numFmtId="166" formatCode="0.00&quot; Ton/m²&quot;"/>
    <numFmt numFmtId="167" formatCode="0.00&quot; m.&quot;"/>
    <numFmt numFmtId="168" formatCode="0.00&quot; Kg/cm²&quot;"/>
    <numFmt numFmtId="169" formatCode="0.00&quot; °&quot;"/>
    <numFmt numFmtId="170" formatCode="0.00&quot; Ton/m³&quot;"/>
    <numFmt numFmtId="171" formatCode="0.00&quot; Kg&quot;"/>
    <numFmt numFmtId="172" formatCode="0.00&quot; Kg/m&quot;"/>
    <numFmt numFmtId="173" formatCode="0.00&quot; ft &quot;"/>
    <numFmt numFmtId="174" formatCode="0.00&quot; in²&quot;"/>
    <numFmt numFmtId="175" formatCode="0.00&quot; kg/cm²&quot;"/>
    <numFmt numFmtId="176" formatCode="0.00&quot; Psi &quot;"/>
    <numFmt numFmtId="177" formatCode="0.00&quot; Lb&quot;"/>
    <numFmt numFmtId="178" formatCode="0.00000000"/>
    <numFmt numFmtId="179" formatCode="0.00&quot; Ton-m/m&quot;"/>
    <numFmt numFmtId="180" formatCode="0.00&quot; cm&quot;"/>
    <numFmt numFmtId="181" formatCode="0.000000"/>
    <numFmt numFmtId="182" formatCode="0.00&quot; cm²/m&quot;"/>
    <numFmt numFmtId="183" formatCode="0.00&quot; Ton/m&quot;"/>
    <numFmt numFmtId="184" formatCode="0.00&quot; Kips/in&quot;"/>
    <numFmt numFmtId="185" formatCode="0.00&quot; cm.&quot;"/>
    <numFmt numFmtId="186" formatCode="0.00&quot; in &quot;"/>
    <numFmt numFmtId="187" formatCode="0&quot; kg/cm²&quot;"/>
    <numFmt numFmtId="188" formatCode="0.0000000"/>
    <numFmt numFmtId="189" formatCode="0.00000"/>
    <numFmt numFmtId="190" formatCode="0.000&quot; Ton/m&quot;"/>
    <numFmt numFmtId="191" formatCode="0.000&quot; Ton.&quot;"/>
    <numFmt numFmtId="192" formatCode="0.0000&quot; Ton.&quot;"/>
    <numFmt numFmtId="193" formatCode="0.00&quot; ton/m²&quot;"/>
    <numFmt numFmtId="194" formatCode="0.000&quot; Kg/cm²&quot;"/>
    <numFmt numFmtId="195" formatCode="0.00&quot; Kg-m&quot;"/>
    <numFmt numFmtId="196" formatCode="0.00&quot; kg/m²&quot;"/>
    <numFmt numFmtId="197" formatCode="0.00&quot; Kg/m²&quot;"/>
    <numFmt numFmtId="198" formatCode="0.000&quot; Ton-m/m&quot;"/>
    <numFmt numFmtId="199" formatCode="0.000&quot; Ton-m&quot;"/>
  </numFmts>
  <fonts count="57" x14ac:knownFonts="1">
    <font>
      <sz val="10"/>
      <name val="Arial"/>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b/>
      <sz val="10"/>
      <name val="Arial Narrow"/>
      <family val="2"/>
    </font>
    <font>
      <sz val="9"/>
      <color indexed="81"/>
      <name val="Tahoma"/>
      <family val="2"/>
    </font>
    <font>
      <b/>
      <sz val="9"/>
      <color indexed="81"/>
      <name val="Swis721 Cn BT"/>
      <family val="2"/>
    </font>
    <font>
      <b/>
      <sz val="12"/>
      <color rgb="FF000099"/>
      <name val="Arial"/>
      <family val="2"/>
    </font>
    <font>
      <b/>
      <sz val="12"/>
      <color rgb="FF990000"/>
      <name val="Arial"/>
      <family val="2"/>
    </font>
    <font>
      <b/>
      <sz val="11"/>
      <color theme="1"/>
      <name val="Arial"/>
      <family val="2"/>
    </font>
    <font>
      <sz val="10"/>
      <color theme="1"/>
      <name val="Arial"/>
      <family val="2"/>
    </font>
    <font>
      <sz val="10"/>
      <name val="Arial"/>
      <family val="2"/>
    </font>
    <font>
      <b/>
      <sz val="10"/>
      <color rgb="FF7030A0"/>
      <name val="Arial"/>
      <family val="2"/>
    </font>
    <font>
      <b/>
      <sz val="10"/>
      <color indexed="12"/>
      <name val="Arial"/>
      <family val="2"/>
    </font>
    <font>
      <sz val="11"/>
      <name val="Arial"/>
      <family val="2"/>
    </font>
    <font>
      <sz val="10"/>
      <color rgb="FF000000"/>
      <name val="Arial"/>
      <family val="2"/>
    </font>
    <font>
      <b/>
      <sz val="10"/>
      <color rgb="FF0000FF"/>
      <name val="Arial"/>
      <family val="2"/>
    </font>
    <font>
      <b/>
      <sz val="10"/>
      <color rgb="FFFF00FF"/>
      <name val="Arial"/>
      <family val="2"/>
    </font>
    <font>
      <b/>
      <vertAlign val="subscript"/>
      <sz val="10"/>
      <color rgb="FFFF00FF"/>
      <name val="Arial"/>
      <family val="2"/>
    </font>
    <font>
      <b/>
      <sz val="10"/>
      <name val="Arial"/>
      <family val="2"/>
    </font>
    <font>
      <b/>
      <sz val="10"/>
      <color rgb="FFFF0000"/>
      <name val="Arial"/>
      <family val="2"/>
    </font>
    <font>
      <sz val="9"/>
      <name val="Arial"/>
      <family val="2"/>
    </font>
    <font>
      <sz val="10"/>
      <color rgb="FFFF0000"/>
      <name val="Arial"/>
      <family val="2"/>
    </font>
    <font>
      <b/>
      <sz val="9"/>
      <name val="Arial"/>
      <family val="2"/>
    </font>
    <font>
      <b/>
      <sz val="9"/>
      <color rgb="FF000066"/>
      <name val="Arial"/>
      <family val="2"/>
    </font>
    <font>
      <sz val="10"/>
      <color rgb="FF0000FF"/>
      <name val="Arial"/>
      <family val="2"/>
    </font>
    <font>
      <u/>
      <sz val="10"/>
      <color theme="1"/>
      <name val="Arial"/>
      <family val="2"/>
    </font>
    <font>
      <b/>
      <sz val="9"/>
      <color rgb="FF0000FF"/>
      <name val="Arial"/>
      <family val="2"/>
    </font>
    <font>
      <b/>
      <sz val="10"/>
      <color theme="1"/>
      <name val="Arial"/>
      <family val="2"/>
    </font>
    <font>
      <i/>
      <sz val="10"/>
      <color theme="1"/>
      <name val="Arial"/>
      <family val="2"/>
    </font>
    <font>
      <b/>
      <sz val="11"/>
      <name val="Arial"/>
      <family val="2"/>
    </font>
    <font>
      <b/>
      <sz val="10"/>
      <color rgb="FF990033"/>
      <name val="Arial"/>
      <family val="2"/>
    </font>
    <font>
      <b/>
      <sz val="10"/>
      <color rgb="FF9900FF"/>
      <name val="Arial"/>
      <family val="2"/>
    </font>
    <font>
      <b/>
      <sz val="8"/>
      <color rgb="FF333399"/>
      <name val="Arial"/>
      <family val="2"/>
    </font>
    <font>
      <sz val="9"/>
      <color rgb="FF0000FF"/>
      <name val="Arial"/>
      <family val="2"/>
    </font>
    <font>
      <b/>
      <sz val="10"/>
      <color rgb="FF333399"/>
      <name val="Arial"/>
      <family val="2"/>
    </font>
    <font>
      <b/>
      <sz val="8"/>
      <color indexed="81"/>
      <name val="Tahoma"/>
      <family val="2"/>
    </font>
    <font>
      <b/>
      <sz val="10"/>
      <color rgb="FF000000"/>
      <name val="Arial"/>
      <family val="2"/>
    </font>
    <font>
      <b/>
      <sz val="9"/>
      <color rgb="FF002060"/>
      <name val="Arial"/>
      <family val="2"/>
    </font>
    <font>
      <b/>
      <sz val="10"/>
      <color indexed="81"/>
      <name val="Tahoma"/>
      <family val="2"/>
    </font>
    <font>
      <b/>
      <sz val="10"/>
      <color rgb="FF006699"/>
      <name val="Arial"/>
      <family val="2"/>
    </font>
    <font>
      <sz val="10"/>
      <color rgb="FF9900FF"/>
      <name val="Arial"/>
      <family val="2"/>
    </font>
    <font>
      <b/>
      <sz val="9"/>
      <color rgb="FF006699"/>
      <name val="Arial"/>
      <family val="2"/>
    </font>
    <font>
      <b/>
      <sz val="10"/>
      <color rgb="FF002060"/>
      <name val="Arial"/>
      <family val="2"/>
    </font>
    <font>
      <b/>
      <u/>
      <sz val="10"/>
      <color rgb="FF0000FF"/>
      <name val="Arial"/>
      <family val="2"/>
    </font>
    <font>
      <b/>
      <sz val="12"/>
      <color rgb="FFFF0000"/>
      <name val="Arial Black"/>
      <family val="2"/>
    </font>
    <font>
      <b/>
      <i/>
      <sz val="10"/>
      <name val="Arial"/>
      <family val="2"/>
    </font>
    <font>
      <sz val="10"/>
      <color theme="1"/>
      <name val="Arial Narrow"/>
      <family val="2"/>
    </font>
    <font>
      <sz val="9"/>
      <color indexed="81"/>
      <name val="Tahoma"/>
      <charset val="1"/>
    </font>
    <font>
      <b/>
      <sz val="9"/>
      <color indexed="81"/>
      <name val="Tahoma"/>
      <charset val="1"/>
    </font>
    <font>
      <b/>
      <u/>
      <sz val="10"/>
      <color rgb="FF000000"/>
      <name val="Arial"/>
      <family val="2"/>
    </font>
    <font>
      <b/>
      <sz val="9"/>
      <color indexed="81"/>
      <name val="Tahoma"/>
      <family val="2"/>
    </font>
    <font>
      <b/>
      <sz val="10"/>
      <color rgb="FF0000CC"/>
      <name val="Arial"/>
      <family val="2"/>
    </font>
    <font>
      <b/>
      <sz val="16"/>
      <color theme="1"/>
      <name val="Arial Black"/>
      <family val="2"/>
    </font>
  </fonts>
  <fills count="21">
    <fill>
      <patternFill patternType="none"/>
    </fill>
    <fill>
      <patternFill patternType="gray125"/>
    </fill>
    <fill>
      <patternFill patternType="solid">
        <fgColor rgb="FFFFFF00"/>
        <bgColor indexed="64"/>
      </patternFill>
    </fill>
    <fill>
      <patternFill patternType="solid">
        <fgColor rgb="FF00FF00"/>
        <bgColor indexed="64"/>
      </patternFill>
    </fill>
    <fill>
      <gradientFill type="path" left="0.5" right="0.5" top="0.5" bottom="0.5">
        <stop position="0">
          <color theme="0"/>
        </stop>
        <stop position="1">
          <color theme="0" tint="-0.34900967436750391"/>
        </stop>
      </gradientFill>
    </fill>
    <fill>
      <patternFill patternType="solid">
        <fgColor theme="0" tint="-0.14999847407452621"/>
        <bgColor indexed="64"/>
      </patternFill>
    </fill>
    <fill>
      <gradientFill type="path" left="0.5" right="0.5" top="0.5" bottom="0.5">
        <stop position="0">
          <color theme="0"/>
        </stop>
        <stop position="1">
          <color rgb="FFFF0000"/>
        </stop>
      </gradientFill>
    </fill>
    <fill>
      <patternFill patternType="solid">
        <fgColor indexed="42"/>
        <bgColor indexed="64"/>
      </patternFill>
    </fill>
    <fill>
      <patternFill patternType="solid">
        <fgColor rgb="FF00FF99"/>
        <bgColor auto="1"/>
      </patternFill>
    </fill>
    <fill>
      <patternFill patternType="solid">
        <fgColor rgb="FF0000FF"/>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rgb="FFCC99FF"/>
        <bgColor indexed="64"/>
      </patternFill>
    </fill>
    <fill>
      <patternFill patternType="solid">
        <fgColor rgb="FF00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6699"/>
        <bgColor indexed="64"/>
      </patternFill>
    </fill>
    <fill>
      <patternFill patternType="solid">
        <fgColor rgb="FFB2B2B2"/>
        <bgColor indexed="64"/>
      </patternFill>
    </fill>
    <fill>
      <patternFill patternType="solid">
        <fgColor theme="2"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s>
  <cellStyleXfs count="3">
    <xf numFmtId="0" fontId="0" fillId="0" borderId="0"/>
    <xf numFmtId="0" fontId="7" fillId="4" borderId="1">
      <alignment horizontal="center" vertical="center" wrapText="1"/>
    </xf>
    <xf numFmtId="164" fontId="7" fillId="6" borderId="1">
      <alignment horizontal="center" vertical="center" wrapText="1"/>
    </xf>
  </cellStyleXfs>
  <cellXfs count="323">
    <xf numFmtId="0" fontId="0" fillId="0" borderId="0" xfId="0"/>
    <xf numFmtId="0" fontId="10" fillId="0" borderId="0" xfId="0" applyFont="1" applyAlignment="1">
      <alignment vertical="center"/>
    </xf>
    <xf numFmtId="0" fontId="11" fillId="0" borderId="0" xfId="0" applyFont="1" applyAlignment="1">
      <alignment vertical="center"/>
    </xf>
    <xf numFmtId="0" fontId="13" fillId="0" borderId="0" xfId="0" applyFont="1" applyAlignment="1">
      <alignment vertical="center"/>
    </xf>
    <xf numFmtId="0" fontId="6" fillId="0" borderId="0" xfId="0" applyFont="1" applyAlignment="1">
      <alignment vertical="center"/>
    </xf>
    <xf numFmtId="0" fontId="14" fillId="0" borderId="0" xfId="0" applyFont="1" applyAlignment="1">
      <alignment vertical="center" wrapText="1"/>
    </xf>
    <xf numFmtId="0" fontId="15" fillId="0" borderId="0" xfId="0" applyFont="1" applyAlignment="1">
      <alignment vertical="center"/>
    </xf>
    <xf numFmtId="0" fontId="16"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17" fillId="0" borderId="0" xfId="0" applyFont="1" applyAlignment="1">
      <alignment vertical="center"/>
    </xf>
    <xf numFmtId="0" fontId="18" fillId="0" borderId="0" xfId="0" applyFont="1" applyAlignment="1">
      <alignment horizontal="left" vertical="center"/>
    </xf>
    <xf numFmtId="0" fontId="15"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horizontal="right" vertical="center"/>
    </xf>
    <xf numFmtId="166" fontId="19" fillId="2" borderId="0" xfId="0" applyNumberFormat="1" applyFont="1" applyFill="1" applyAlignment="1">
      <alignment horizontal="center" vertical="center"/>
    </xf>
    <xf numFmtId="0" fontId="14" fillId="2" borderId="0" xfId="0" applyFont="1" applyFill="1" applyAlignment="1">
      <alignment vertical="center"/>
    </xf>
    <xf numFmtId="167" fontId="19" fillId="2" borderId="0" xfId="0" applyNumberFormat="1" applyFont="1" applyFill="1" applyAlignment="1">
      <alignment horizontal="center" vertical="center"/>
    </xf>
    <xf numFmtId="170" fontId="19" fillId="2" borderId="0" xfId="0" applyNumberFormat="1" applyFont="1" applyFill="1" applyAlignment="1">
      <alignment horizontal="center" vertical="center"/>
    </xf>
    <xf numFmtId="0" fontId="14" fillId="0" borderId="2" xfId="0" applyFont="1" applyBorder="1" applyAlignment="1">
      <alignment vertical="center"/>
    </xf>
    <xf numFmtId="169" fontId="19" fillId="2" borderId="0" xfId="0" applyNumberFormat="1" applyFont="1" applyFill="1" applyAlignment="1">
      <alignment horizontal="center" vertical="center"/>
    </xf>
    <xf numFmtId="187" fontId="19" fillId="2" borderId="0" xfId="0" applyNumberFormat="1" applyFont="1" applyFill="1" applyAlignment="1">
      <alignment horizontal="center" vertical="center"/>
    </xf>
    <xf numFmtId="0" fontId="14" fillId="0" borderId="0" xfId="0" applyFont="1" applyAlignment="1">
      <alignment horizontal="left" vertical="center"/>
    </xf>
    <xf numFmtId="180" fontId="19" fillId="2" borderId="0" xfId="0" applyNumberFormat="1" applyFont="1" applyFill="1" applyAlignment="1">
      <alignment horizontal="center" vertical="center"/>
    </xf>
    <xf numFmtId="0" fontId="14" fillId="9" borderId="0" xfId="0" applyFont="1" applyFill="1" applyAlignment="1">
      <alignment horizontal="left" vertical="center"/>
    </xf>
    <xf numFmtId="0" fontId="22" fillId="0" borderId="0" xfId="0" applyFont="1" applyAlignment="1">
      <alignment horizontal="right" vertical="center"/>
    </xf>
    <xf numFmtId="165" fontId="22" fillId="0" borderId="0" xfId="0" applyNumberFormat="1" applyFont="1" applyAlignment="1">
      <alignment horizontal="right" vertical="center"/>
    </xf>
    <xf numFmtId="0" fontId="23" fillId="0" borderId="0" xfId="0" applyFont="1" applyAlignment="1">
      <alignment vertical="center"/>
    </xf>
    <xf numFmtId="0" fontId="14" fillId="0" borderId="0" xfId="0" applyFont="1" applyAlignment="1">
      <alignment horizontal="right" vertical="center"/>
    </xf>
    <xf numFmtId="166" fontId="24" fillId="0" borderId="0" xfId="0" applyNumberFormat="1" applyFont="1" applyAlignment="1">
      <alignment horizontal="center" vertical="center"/>
    </xf>
    <xf numFmtId="167" fontId="24" fillId="0" borderId="0" xfId="0" applyNumberFormat="1" applyFont="1" applyAlignment="1">
      <alignment horizontal="center" vertical="center"/>
    </xf>
    <xf numFmtId="168" fontId="24" fillId="0" borderId="0" xfId="0" applyNumberFormat="1" applyFont="1" applyAlignment="1">
      <alignment horizontal="center" vertical="center"/>
    </xf>
    <xf numFmtId="169" fontId="24" fillId="0" borderId="0" xfId="0" applyNumberFormat="1" applyFont="1" applyAlignment="1">
      <alignment horizontal="center" vertical="center"/>
    </xf>
    <xf numFmtId="170" fontId="24" fillId="0" borderId="0" xfId="0" applyNumberFormat="1" applyFont="1" applyAlignment="1">
      <alignment horizontal="center" vertical="center"/>
    </xf>
    <xf numFmtId="2" fontId="14" fillId="0" borderId="0" xfId="0" applyNumberFormat="1" applyFont="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0" borderId="0" xfId="0" applyFont="1" applyAlignment="1">
      <alignment horizontal="right" vertical="center"/>
    </xf>
    <xf numFmtId="0" fontId="25" fillId="0" borderId="0" xfId="0" applyFont="1" applyAlignment="1">
      <alignment vertical="center"/>
    </xf>
    <xf numFmtId="2" fontId="13" fillId="0" borderId="0" xfId="0" applyNumberFormat="1" applyFont="1" applyAlignment="1">
      <alignment horizontal="right" vertical="center"/>
    </xf>
    <xf numFmtId="2" fontId="13" fillId="0" borderId="0" xfId="0" applyNumberFormat="1" applyFont="1" applyAlignment="1">
      <alignment horizontal="center" vertical="center"/>
    </xf>
    <xf numFmtId="0" fontId="13" fillId="0" borderId="0" xfId="0" applyFont="1" applyAlignment="1">
      <alignment horizontal="center" vertical="center"/>
    </xf>
    <xf numFmtId="2" fontId="13" fillId="0" borderId="0" xfId="0" applyNumberFormat="1" applyFont="1" applyAlignment="1">
      <alignment vertical="center"/>
    </xf>
    <xf numFmtId="0" fontId="22" fillId="0" borderId="0" xfId="0" applyFont="1" applyAlignment="1">
      <alignment horizontal="center" vertical="center"/>
    </xf>
    <xf numFmtId="0" fontId="27" fillId="0" borderId="0" xfId="0" applyFont="1" applyAlignment="1">
      <alignment vertical="center"/>
    </xf>
    <xf numFmtId="0" fontId="24" fillId="0" borderId="0" xfId="0" applyFont="1" applyAlignment="1">
      <alignment vertical="center"/>
    </xf>
    <xf numFmtId="0" fontId="18" fillId="0" borderId="0" xfId="0" applyFont="1" applyAlignment="1">
      <alignment vertical="center" wrapText="1"/>
    </xf>
    <xf numFmtId="0" fontId="17" fillId="0" borderId="0" xfId="0" applyFont="1" applyAlignment="1">
      <alignment horizontal="center" vertical="center"/>
    </xf>
    <xf numFmtId="0" fontId="18" fillId="0" borderId="0" xfId="0" applyFont="1" applyAlignment="1">
      <alignment vertical="center"/>
    </xf>
    <xf numFmtId="0" fontId="13" fillId="0" borderId="3" xfId="0" applyFont="1" applyBorder="1" applyAlignment="1">
      <alignment horizontal="right" vertical="center"/>
    </xf>
    <xf numFmtId="0" fontId="14" fillId="0" borderId="7" xfId="0" applyFont="1" applyBorder="1" applyAlignment="1">
      <alignment vertical="center" wrapText="1"/>
    </xf>
    <xf numFmtId="0" fontId="13" fillId="0" borderId="8" xfId="0" applyFont="1" applyBorder="1" applyAlignment="1">
      <alignment horizontal="center" vertical="center"/>
    </xf>
    <xf numFmtId="171" fontId="19" fillId="2" borderId="0" xfId="0" applyNumberFormat="1" applyFont="1" applyFill="1" applyAlignment="1">
      <alignment horizontal="center" vertical="center"/>
    </xf>
    <xf numFmtId="172" fontId="13" fillId="0" borderId="0" xfId="0" applyNumberFormat="1" applyFont="1" applyAlignment="1">
      <alignment vertical="center"/>
    </xf>
    <xf numFmtId="0" fontId="13" fillId="0" borderId="3" xfId="0" applyFont="1" applyBorder="1" applyAlignment="1">
      <alignment vertical="center"/>
    </xf>
    <xf numFmtId="0" fontId="13" fillId="0" borderId="11" xfId="0" applyFont="1" applyBorder="1" applyAlignment="1">
      <alignment vertical="center"/>
    </xf>
    <xf numFmtId="0" fontId="13" fillId="0" borderId="4" xfId="0" applyFont="1" applyBorder="1" applyAlignment="1">
      <alignment vertical="center"/>
    </xf>
    <xf numFmtId="0" fontId="13" fillId="0" borderId="12"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left" vertical="center"/>
    </xf>
    <xf numFmtId="167" fontId="13" fillId="0" borderId="0" xfId="0" applyNumberFormat="1" applyFont="1" applyAlignment="1">
      <alignment horizontal="center" vertical="center"/>
    </xf>
    <xf numFmtId="173" fontId="13" fillId="0" borderId="0" xfId="0" applyNumberFormat="1" applyFont="1" applyAlignment="1">
      <alignment horizontal="left" vertical="center"/>
    </xf>
    <xf numFmtId="174" fontId="13" fillId="0" borderId="0" xfId="0" applyNumberFormat="1" applyFont="1" applyAlignment="1">
      <alignment horizontal="center" vertical="center"/>
    </xf>
    <xf numFmtId="0" fontId="19" fillId="2" borderId="0" xfId="0" applyFont="1" applyFill="1" applyAlignment="1">
      <alignment horizontal="center" vertical="center"/>
    </xf>
    <xf numFmtId="175" fontId="13" fillId="0" borderId="0" xfId="0" applyNumberFormat="1" applyFont="1" applyAlignment="1">
      <alignment vertical="center"/>
    </xf>
    <xf numFmtId="176" fontId="13" fillId="0" borderId="0" xfId="0" applyNumberFormat="1" applyFont="1" applyAlignment="1">
      <alignment vertical="center"/>
    </xf>
    <xf numFmtId="0" fontId="13" fillId="0" borderId="9" xfId="0" applyFont="1" applyBorder="1" applyAlignment="1">
      <alignment horizontal="right" vertical="center"/>
    </xf>
    <xf numFmtId="0" fontId="22" fillId="0" borderId="0" xfId="0" applyFont="1" applyAlignment="1">
      <alignment vertical="center"/>
    </xf>
    <xf numFmtId="0" fontId="13" fillId="0" borderId="10" xfId="0" applyFont="1" applyBorder="1" applyAlignment="1">
      <alignment vertical="center"/>
    </xf>
    <xf numFmtId="179" fontId="19" fillId="2" borderId="0" xfId="0" applyNumberFormat="1" applyFont="1" applyFill="1" applyAlignment="1">
      <alignment vertical="center"/>
    </xf>
    <xf numFmtId="178" fontId="13" fillId="0" borderId="0" xfId="0" applyNumberFormat="1" applyFont="1" applyAlignment="1">
      <alignment vertical="center"/>
    </xf>
    <xf numFmtId="0" fontId="23" fillId="0" borderId="0" xfId="0" applyFont="1" applyAlignment="1">
      <alignment horizontal="center" vertical="center"/>
    </xf>
    <xf numFmtId="175" fontId="13" fillId="0" borderId="0" xfId="0" applyNumberFormat="1" applyFont="1" applyAlignment="1">
      <alignment horizontal="center" vertical="center"/>
    </xf>
    <xf numFmtId="2" fontId="19" fillId="2" borderId="0" xfId="0" applyNumberFormat="1" applyFont="1" applyFill="1" applyAlignment="1">
      <alignment horizontal="center" vertical="center"/>
    </xf>
    <xf numFmtId="180" fontId="14" fillId="3" borderId="0" xfId="0" applyNumberFormat="1" applyFont="1" applyFill="1" applyAlignment="1">
      <alignment horizontal="center" vertical="center"/>
    </xf>
    <xf numFmtId="1" fontId="14" fillId="0" borderId="0" xfId="0" applyNumberFormat="1" applyFont="1" applyAlignment="1">
      <alignment vertical="center"/>
    </xf>
    <xf numFmtId="180" fontId="19" fillId="0" borderId="0" xfId="0" applyNumberFormat="1" applyFont="1" applyAlignment="1">
      <alignment horizontal="center" vertical="center"/>
    </xf>
    <xf numFmtId="164" fontId="14" fillId="0" borderId="0" xfId="0" applyNumberFormat="1" applyFont="1" applyAlignment="1">
      <alignment horizontal="center" vertical="center"/>
    </xf>
    <xf numFmtId="0" fontId="13" fillId="0" borderId="13" xfId="0" applyFont="1" applyBorder="1" applyAlignment="1">
      <alignment horizontal="center" vertical="center"/>
    </xf>
    <xf numFmtId="181" fontId="13" fillId="0" borderId="0" xfId="0" applyNumberFormat="1" applyFont="1" applyAlignment="1">
      <alignment horizontal="center" vertical="center"/>
    </xf>
    <xf numFmtId="182" fontId="13" fillId="0" borderId="0" xfId="0" applyNumberFormat="1" applyFont="1" applyAlignment="1">
      <alignment horizontal="center" vertical="center"/>
    </xf>
    <xf numFmtId="182" fontId="13" fillId="0" borderId="0" xfId="0" applyNumberFormat="1" applyFont="1" applyAlignment="1">
      <alignment vertical="center"/>
    </xf>
    <xf numFmtId="0" fontId="19" fillId="5" borderId="9" xfId="0" applyFont="1" applyFill="1" applyBorder="1" applyAlignment="1">
      <alignment horizontal="right" vertical="center"/>
    </xf>
    <xf numFmtId="183" fontId="19" fillId="2" borderId="0" xfId="0" applyNumberFormat="1" applyFont="1" applyFill="1" applyAlignment="1">
      <alignment horizontal="center" vertical="center"/>
    </xf>
    <xf numFmtId="183" fontId="19" fillId="0" borderId="0" xfId="0" applyNumberFormat="1" applyFont="1" applyAlignment="1">
      <alignment vertical="center"/>
    </xf>
    <xf numFmtId="164" fontId="13" fillId="0" borderId="0" xfId="0" applyNumberFormat="1" applyFont="1" applyAlignment="1">
      <alignment horizontal="center" vertical="center"/>
    </xf>
    <xf numFmtId="172" fontId="13" fillId="0" borderId="0" xfId="0" applyNumberFormat="1" applyFont="1" applyAlignment="1">
      <alignment horizontal="center" vertical="center"/>
    </xf>
    <xf numFmtId="2" fontId="19" fillId="0" borderId="0" xfId="0" applyNumberFormat="1" applyFont="1" applyAlignment="1">
      <alignment vertical="center"/>
    </xf>
    <xf numFmtId="180" fontId="13" fillId="0" borderId="0" xfId="0" applyNumberFormat="1" applyFont="1" applyAlignment="1">
      <alignment horizontal="center" vertical="center"/>
    </xf>
    <xf numFmtId="180" fontId="19" fillId="0" borderId="0" xfId="0" applyNumberFormat="1" applyFont="1" applyAlignment="1">
      <alignment vertical="center"/>
    </xf>
    <xf numFmtId="0" fontId="31" fillId="0" borderId="3" xfId="0" applyFont="1" applyBorder="1" applyAlignment="1">
      <alignment horizontal="right" vertical="center"/>
    </xf>
    <xf numFmtId="0" fontId="13" fillId="0" borderId="17" xfId="0" applyFont="1" applyBorder="1" applyAlignment="1">
      <alignment horizontal="center" vertical="center"/>
    </xf>
    <xf numFmtId="0" fontId="13" fillId="0" borderId="11" xfId="0" applyFont="1" applyBorder="1" applyAlignment="1">
      <alignment horizontal="center" vertical="center"/>
    </xf>
    <xf numFmtId="0" fontId="31" fillId="0" borderId="4" xfId="0" applyFont="1" applyBorder="1" applyAlignment="1">
      <alignment horizontal="center" vertical="center"/>
    </xf>
    <xf numFmtId="0" fontId="13" fillId="0" borderId="12" xfId="0" applyFont="1" applyBorder="1" applyAlignment="1">
      <alignment horizontal="center" vertical="center"/>
    </xf>
    <xf numFmtId="184" fontId="13" fillId="0" borderId="0" xfId="0" applyNumberFormat="1" applyFont="1" applyAlignment="1">
      <alignment horizontal="center" vertical="center"/>
    </xf>
    <xf numFmtId="176" fontId="13" fillId="0" borderId="0" xfId="0" applyNumberFormat="1" applyFont="1" applyAlignment="1">
      <alignment horizontal="center" vertical="center"/>
    </xf>
    <xf numFmtId="0" fontId="32" fillId="0" borderId="1" xfId="0" applyFont="1" applyBorder="1" applyAlignment="1">
      <alignment vertical="center"/>
    </xf>
    <xf numFmtId="2" fontId="32" fillId="0" borderId="1" xfId="0" applyNumberFormat="1" applyFont="1" applyBorder="1" applyAlignment="1">
      <alignment vertical="center"/>
    </xf>
    <xf numFmtId="12" fontId="32" fillId="0" borderId="1" xfId="0" applyNumberFormat="1" applyFont="1" applyBorder="1" applyAlignment="1">
      <alignment horizontal="center" vertical="center"/>
    </xf>
    <xf numFmtId="2" fontId="32" fillId="0" borderId="1" xfId="0" applyNumberFormat="1" applyFont="1" applyBorder="1" applyAlignment="1">
      <alignment horizontal="center" vertical="center"/>
    </xf>
    <xf numFmtId="185" fontId="19" fillId="0" borderId="0" xfId="0" applyNumberFormat="1" applyFont="1" applyAlignment="1">
      <alignment horizontal="center" vertical="center"/>
    </xf>
    <xf numFmtId="186" fontId="13" fillId="0" borderId="0" xfId="0" applyNumberFormat="1" applyFont="1" applyAlignment="1">
      <alignment horizontal="center" vertical="center"/>
    </xf>
    <xf numFmtId="12" fontId="19" fillId="2" borderId="0" xfId="0" applyNumberFormat="1" applyFont="1" applyFill="1" applyAlignment="1">
      <alignment horizontal="center" vertical="center"/>
    </xf>
    <xf numFmtId="186" fontId="19" fillId="0" borderId="0" xfId="0" applyNumberFormat="1" applyFont="1" applyAlignment="1">
      <alignment vertical="center"/>
    </xf>
    <xf numFmtId="186" fontId="13" fillId="0" borderId="0" xfId="0" applyNumberFormat="1" applyFont="1" applyAlignment="1">
      <alignment vertical="center"/>
    </xf>
    <xf numFmtId="2" fontId="13" fillId="0" borderId="1" xfId="0" applyNumberFormat="1" applyFont="1" applyBorder="1" applyAlignment="1">
      <alignment horizontal="center" vertical="center"/>
    </xf>
    <xf numFmtId="186" fontId="19" fillId="5" borderId="18" xfId="0" applyNumberFormat="1" applyFont="1" applyFill="1" applyBorder="1" applyAlignment="1">
      <alignment horizontal="center" vertical="center"/>
    </xf>
    <xf numFmtId="0" fontId="19" fillId="5" borderId="18" xfId="0" applyFont="1" applyFill="1" applyBorder="1" applyAlignment="1">
      <alignment horizontal="center" vertical="center"/>
    </xf>
    <xf numFmtId="0" fontId="14" fillId="0" borderId="0" xfId="0" applyFont="1" applyAlignment="1">
      <alignment horizontal="center" vertical="center" wrapText="1"/>
    </xf>
    <xf numFmtId="0" fontId="20" fillId="0" borderId="0" xfId="0" applyFont="1" applyAlignment="1">
      <alignment vertical="center"/>
    </xf>
    <xf numFmtId="12" fontId="19" fillId="2" borderId="21" xfId="0" applyNumberFormat="1" applyFont="1" applyFill="1" applyBorder="1" applyAlignment="1">
      <alignment horizontal="center" vertical="center"/>
    </xf>
    <xf numFmtId="0" fontId="13" fillId="0" borderId="5" xfId="0" applyFont="1" applyBorder="1" applyAlignment="1">
      <alignment horizontal="right" vertical="center"/>
    </xf>
    <xf numFmtId="180" fontId="19" fillId="5" borderId="10" xfId="0" applyNumberFormat="1"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alignment horizontal="left" vertical="center"/>
    </xf>
    <xf numFmtId="0" fontId="17" fillId="0" borderId="11" xfId="0" applyFont="1" applyBorder="1" applyAlignment="1">
      <alignment vertical="center"/>
    </xf>
    <xf numFmtId="0" fontId="17" fillId="0" borderId="4" xfId="0" applyFont="1" applyBorder="1" applyAlignment="1">
      <alignment vertical="center"/>
    </xf>
    <xf numFmtId="0" fontId="17" fillId="0" borderId="6" xfId="0" applyFont="1" applyBorder="1" applyAlignment="1">
      <alignment vertical="center"/>
    </xf>
    <xf numFmtId="0" fontId="17" fillId="0" borderId="12" xfId="0" applyFont="1" applyBorder="1" applyAlignment="1">
      <alignment vertical="center"/>
    </xf>
    <xf numFmtId="0" fontId="17" fillId="0" borderId="8" xfId="0" applyFont="1" applyBorder="1" applyAlignment="1">
      <alignment vertical="center"/>
    </xf>
    <xf numFmtId="181" fontId="17" fillId="0" borderId="11" xfId="0" applyNumberFormat="1" applyFont="1" applyBorder="1" applyAlignment="1">
      <alignment vertical="center"/>
    </xf>
    <xf numFmtId="181" fontId="17" fillId="0" borderId="0" xfId="0" applyNumberFormat="1" applyFont="1" applyAlignment="1">
      <alignment vertical="center"/>
    </xf>
    <xf numFmtId="181" fontId="17" fillId="0" borderId="12" xfId="0" applyNumberFormat="1" applyFont="1" applyBorder="1" applyAlignment="1">
      <alignment vertical="center"/>
    </xf>
    <xf numFmtId="188" fontId="17" fillId="0" borderId="0" xfId="0" applyNumberFormat="1" applyFont="1" applyAlignment="1">
      <alignment vertical="center"/>
    </xf>
    <xf numFmtId="0" fontId="17" fillId="0" borderId="31" xfId="0" applyFont="1" applyBorder="1" applyAlignment="1">
      <alignment vertical="center"/>
    </xf>
    <xf numFmtId="188" fontId="17" fillId="0" borderId="10" xfId="0" applyNumberFormat="1" applyFont="1" applyBorder="1" applyAlignment="1">
      <alignment vertical="center"/>
    </xf>
    <xf numFmtId="189" fontId="14" fillId="0" borderId="0" xfId="0" applyNumberFormat="1" applyFont="1" applyAlignment="1">
      <alignment horizontal="center" vertical="center"/>
    </xf>
    <xf numFmtId="0" fontId="37" fillId="0" borderId="0" xfId="0" applyFont="1" applyAlignment="1">
      <alignment vertical="center"/>
    </xf>
    <xf numFmtId="0" fontId="5" fillId="0" borderId="0" xfId="0" applyFont="1" applyAlignment="1">
      <alignment vertical="center"/>
    </xf>
    <xf numFmtId="164" fontId="13" fillId="10" borderId="0" xfId="0" applyNumberFormat="1" applyFont="1" applyFill="1" applyAlignment="1">
      <alignment horizontal="center" vertical="center"/>
    </xf>
    <xf numFmtId="167" fontId="14" fillId="10" borderId="0" xfId="0" applyNumberFormat="1" applyFont="1" applyFill="1" applyAlignment="1">
      <alignment vertical="center"/>
    </xf>
    <xf numFmtId="190" fontId="14" fillId="10" borderId="0" xfId="0" applyNumberFormat="1" applyFont="1" applyFill="1" applyAlignment="1">
      <alignment vertical="center"/>
    </xf>
    <xf numFmtId="164" fontId="13" fillId="10" borderId="0" xfId="0" applyNumberFormat="1" applyFont="1" applyFill="1" applyAlignment="1">
      <alignment vertical="center"/>
    </xf>
    <xf numFmtId="2" fontId="14" fillId="10" borderId="0" xfId="0" applyNumberFormat="1" applyFont="1" applyFill="1" applyAlignment="1">
      <alignment vertical="center"/>
    </xf>
    <xf numFmtId="192" fontId="13" fillId="10" borderId="0" xfId="0" applyNumberFormat="1" applyFont="1" applyFill="1" applyAlignment="1">
      <alignment horizontal="center" vertical="center"/>
    </xf>
    <xf numFmtId="167" fontId="13" fillId="10" borderId="0" xfId="0" applyNumberFormat="1" applyFont="1" applyFill="1" applyAlignment="1">
      <alignment horizontal="center" vertical="center"/>
    </xf>
    <xf numFmtId="191" fontId="14" fillId="10" borderId="0" xfId="0" applyNumberFormat="1" applyFont="1" applyFill="1" applyAlignment="1">
      <alignment horizontal="center" vertical="center"/>
    </xf>
    <xf numFmtId="0" fontId="17" fillId="0" borderId="0" xfId="0" applyFont="1" applyAlignment="1">
      <alignment horizontal="right" vertical="center"/>
    </xf>
    <xf numFmtId="0" fontId="26" fillId="0" borderId="0" xfId="0" applyFont="1" applyAlignment="1">
      <alignment horizontal="right" vertical="center"/>
    </xf>
    <xf numFmtId="0" fontId="18" fillId="0" borderId="0" xfId="0" applyFont="1" applyAlignment="1">
      <alignment horizontal="left"/>
    </xf>
    <xf numFmtId="0" fontId="14" fillId="0" borderId="0" xfId="0" applyFont="1"/>
    <xf numFmtId="0" fontId="18" fillId="0" borderId="0" xfId="0" applyFont="1"/>
    <xf numFmtId="0" fontId="41" fillId="0" borderId="0" xfId="0" applyFont="1" applyAlignment="1">
      <alignment vertical="center"/>
    </xf>
    <xf numFmtId="0" fontId="14" fillId="0" borderId="0" xfId="0" applyFont="1" applyAlignment="1">
      <alignment horizontal="right" vertical="center" wrapText="1"/>
    </xf>
    <xf numFmtId="2" fontId="17" fillId="0" borderId="0" xfId="0" applyNumberFormat="1" applyFont="1" applyAlignment="1">
      <alignment vertical="center"/>
    </xf>
    <xf numFmtId="169" fontId="14" fillId="10" borderId="0" xfId="0" applyNumberFormat="1" applyFont="1" applyFill="1" applyAlignment="1">
      <alignment horizontal="center" vertical="center"/>
    </xf>
    <xf numFmtId="169" fontId="17" fillId="0" borderId="1" xfId="0" applyNumberFormat="1" applyFont="1" applyBorder="1" applyAlignment="1">
      <alignment vertical="center"/>
    </xf>
    <xf numFmtId="2" fontId="14" fillId="10" borderId="0" xfId="0" applyNumberFormat="1" applyFont="1" applyFill="1" applyAlignment="1">
      <alignment horizontal="center" vertical="center"/>
    </xf>
    <xf numFmtId="2" fontId="14" fillId="2" borderId="0" xfId="0" applyNumberFormat="1" applyFont="1" applyFill="1" applyAlignment="1">
      <alignment horizontal="center" vertical="center" wrapText="1"/>
    </xf>
    <xf numFmtId="169" fontId="13" fillId="10" borderId="0" xfId="0" applyNumberFormat="1" applyFont="1" applyFill="1" applyAlignment="1">
      <alignment horizontal="center" vertical="center"/>
    </xf>
    <xf numFmtId="0" fontId="13" fillId="11" borderId="0" xfId="0" applyFont="1" applyFill="1" applyAlignment="1">
      <alignment horizontal="left" vertical="center"/>
    </xf>
    <xf numFmtId="0" fontId="14" fillId="11" borderId="0" xfId="0" applyFont="1" applyFill="1" applyAlignment="1">
      <alignment vertical="center"/>
    </xf>
    <xf numFmtId="0" fontId="13" fillId="11" borderId="0" xfId="0" applyFont="1" applyFill="1" applyAlignment="1">
      <alignment vertical="center"/>
    </xf>
    <xf numFmtId="194" fontId="19" fillId="2" borderId="0" xfId="0" applyNumberFormat="1" applyFont="1" applyFill="1" applyAlignment="1">
      <alignment horizontal="center" vertical="center"/>
    </xf>
    <xf numFmtId="0" fontId="17" fillId="0" borderId="3" xfId="0" applyFont="1" applyBorder="1" applyAlignment="1">
      <alignment vertical="center"/>
    </xf>
    <xf numFmtId="0" fontId="17" fillId="0" borderId="5" xfId="0" applyFont="1" applyBorder="1" applyAlignment="1">
      <alignment vertical="center"/>
    </xf>
    <xf numFmtId="0" fontId="17" fillId="0" borderId="7" xfId="0" applyFont="1" applyBorder="1" applyAlignment="1">
      <alignment vertical="center"/>
    </xf>
    <xf numFmtId="0" fontId="17" fillId="0" borderId="9" xfId="0" applyFont="1" applyBorder="1" applyAlignment="1">
      <alignment vertical="center"/>
    </xf>
    <xf numFmtId="0" fontId="17" fillId="0" borderId="10" xfId="0" applyFont="1" applyBorder="1" applyAlignment="1">
      <alignment vertical="center"/>
    </xf>
    <xf numFmtId="0" fontId="33" fillId="0" borderId="0" xfId="0" applyFont="1" applyAlignment="1">
      <alignment horizontal="right" vertical="center"/>
    </xf>
    <xf numFmtId="0" fontId="22" fillId="8" borderId="23" xfId="1" applyFont="1" applyFill="1" applyBorder="1">
      <alignment horizontal="center" vertical="center" wrapText="1"/>
    </xf>
    <xf numFmtId="191" fontId="13" fillId="10" borderId="0" xfId="0" applyNumberFormat="1" applyFont="1" applyFill="1" applyAlignment="1">
      <alignment vertical="center"/>
    </xf>
    <xf numFmtId="167" fontId="13" fillId="10" borderId="0" xfId="0" applyNumberFormat="1" applyFont="1" applyFill="1" applyAlignment="1">
      <alignment vertical="center"/>
    </xf>
    <xf numFmtId="167" fontId="13" fillId="10" borderId="0" xfId="0" applyNumberFormat="1" applyFont="1" applyFill="1" applyAlignment="1">
      <alignment horizontal="left"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Alignment="1">
      <alignment horizontal="right" vertical="center"/>
    </xf>
    <xf numFmtId="180" fontId="28" fillId="2" borderId="0" xfId="0" applyNumberFormat="1" applyFont="1" applyFill="1" applyAlignment="1">
      <alignment horizontal="center" vertical="center"/>
    </xf>
    <xf numFmtId="2" fontId="28" fillId="2" borderId="0" xfId="0" applyNumberFormat="1" applyFont="1" applyFill="1" applyAlignment="1">
      <alignment horizontal="center" vertical="center"/>
    </xf>
    <xf numFmtId="0" fontId="22" fillId="0" borderId="4" xfId="0" applyFont="1" applyBorder="1" applyAlignment="1">
      <alignment horizontal="right" vertical="center"/>
    </xf>
    <xf numFmtId="0" fontId="13" fillId="0" borderId="3" xfId="0" applyFont="1" applyBorder="1" applyAlignment="1">
      <alignment horizontal="right"/>
    </xf>
    <xf numFmtId="0" fontId="14" fillId="12" borderId="0" xfId="0" applyFont="1" applyFill="1" applyAlignment="1">
      <alignment horizontal="left" vertical="center"/>
    </xf>
    <xf numFmtId="0" fontId="14" fillId="13" borderId="0" xfId="0" applyFont="1" applyFill="1" applyAlignment="1">
      <alignment horizontal="left" vertical="center"/>
    </xf>
    <xf numFmtId="0" fontId="14" fillId="14" borderId="0" xfId="0" applyFont="1" applyFill="1" applyAlignment="1">
      <alignment horizontal="left" vertical="center"/>
    </xf>
    <xf numFmtId="164" fontId="14" fillId="0" borderId="0" xfId="0" applyNumberFormat="1" applyFont="1" applyAlignment="1">
      <alignment vertical="center"/>
    </xf>
    <xf numFmtId="0" fontId="19" fillId="15" borderId="9" xfId="0" applyFont="1" applyFill="1" applyBorder="1" applyAlignment="1">
      <alignment horizontal="right" vertical="center"/>
    </xf>
    <xf numFmtId="0" fontId="19" fillId="15" borderId="9" xfId="0" applyFont="1" applyFill="1" applyBorder="1" applyAlignment="1">
      <alignment horizontal="center" vertical="center"/>
    </xf>
    <xf numFmtId="186" fontId="19" fillId="15" borderId="18" xfId="0" applyNumberFormat="1" applyFont="1" applyFill="1" applyBorder="1" applyAlignment="1">
      <alignment horizontal="center" vertical="center"/>
    </xf>
    <xf numFmtId="0" fontId="19" fillId="15" borderId="18" xfId="0" applyFont="1" applyFill="1" applyBorder="1" applyAlignment="1">
      <alignment horizontal="center" vertical="center"/>
    </xf>
    <xf numFmtId="0" fontId="45" fillId="0" borderId="0" xfId="0" applyFont="1" applyAlignment="1">
      <alignment horizontal="left" vertical="center"/>
    </xf>
    <xf numFmtId="194" fontId="14" fillId="0" borderId="0" xfId="0" applyNumberFormat="1" applyFont="1" applyAlignment="1">
      <alignment vertical="center"/>
    </xf>
    <xf numFmtId="0" fontId="23" fillId="0" borderId="0" xfId="0" applyFont="1" applyAlignment="1">
      <alignment horizontal="left" vertical="center"/>
    </xf>
    <xf numFmtId="12" fontId="32" fillId="0" borderId="0" xfId="0" applyNumberFormat="1" applyFont="1" applyAlignment="1">
      <alignment horizontal="center" vertical="center"/>
    </xf>
    <xf numFmtId="2" fontId="32" fillId="0" borderId="0" xfId="0" applyNumberFormat="1" applyFont="1" applyAlignment="1">
      <alignment horizontal="center" vertical="center"/>
    </xf>
    <xf numFmtId="2" fontId="14" fillId="2" borderId="0" xfId="0" applyNumberFormat="1" applyFont="1" applyFill="1" applyAlignment="1">
      <alignment horizontal="center" vertical="center"/>
    </xf>
    <xf numFmtId="164" fontId="14" fillId="2" borderId="0" xfId="0" applyNumberFormat="1" applyFont="1" applyFill="1" applyAlignment="1">
      <alignment horizontal="center" vertical="center"/>
    </xf>
    <xf numFmtId="0" fontId="46" fillId="15" borderId="9" xfId="0" applyFont="1" applyFill="1" applyBorder="1" applyAlignment="1">
      <alignment horizontal="right" vertical="center"/>
    </xf>
    <xf numFmtId="0" fontId="47" fillId="0" borderId="0" xfId="0" applyFont="1" applyAlignment="1">
      <alignment vertical="center"/>
    </xf>
    <xf numFmtId="0" fontId="31" fillId="0" borderId="6" xfId="0" applyFont="1" applyBorder="1" applyAlignment="1">
      <alignment vertical="center"/>
    </xf>
    <xf numFmtId="0" fontId="48" fillId="0" borderId="0" xfId="0" applyFont="1" applyAlignment="1">
      <alignment horizontal="center" vertical="center"/>
    </xf>
    <xf numFmtId="0" fontId="49" fillId="0" borderId="0" xfId="0" applyFont="1" applyAlignment="1">
      <alignment horizontal="right" vertical="center"/>
    </xf>
    <xf numFmtId="172" fontId="49" fillId="0" borderId="0" xfId="0" applyNumberFormat="1" applyFont="1" applyAlignment="1">
      <alignment horizontal="center" vertical="center"/>
    </xf>
    <xf numFmtId="175" fontId="19" fillId="11" borderId="0" xfId="0" applyNumberFormat="1" applyFont="1" applyFill="1" applyAlignment="1">
      <alignment vertical="center"/>
    </xf>
    <xf numFmtId="0" fontId="31" fillId="0" borderId="0" xfId="0" applyFont="1" applyAlignment="1">
      <alignment horizontal="right" vertical="center"/>
    </xf>
    <xf numFmtId="175" fontId="19" fillId="11" borderId="0" xfId="0" applyNumberFormat="1" applyFont="1" applyFill="1" applyAlignment="1">
      <alignment horizontal="center" vertical="center"/>
    </xf>
    <xf numFmtId="175" fontId="14" fillId="0" borderId="0" xfId="0" applyNumberFormat="1" applyFont="1" applyAlignment="1">
      <alignment horizontal="center" vertical="center"/>
    </xf>
    <xf numFmtId="2" fontId="19" fillId="15" borderId="29" xfId="0" applyNumberFormat="1"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21" xfId="0" applyFont="1" applyFill="1" applyBorder="1" applyAlignment="1">
      <alignment horizontal="center" vertical="center"/>
    </xf>
    <xf numFmtId="2" fontId="19" fillId="15" borderId="21" xfId="0" applyNumberFormat="1" applyFont="1" applyFill="1" applyBorder="1" applyAlignment="1">
      <alignment horizontal="center" vertical="center"/>
    </xf>
    <xf numFmtId="0" fontId="19" fillId="15" borderId="22" xfId="0" applyFont="1" applyFill="1" applyBorder="1" applyAlignment="1">
      <alignment horizontal="center" vertical="center"/>
    </xf>
    <xf numFmtId="0" fontId="22" fillId="0" borderId="0" xfId="0" applyFont="1" applyAlignment="1">
      <alignment horizontal="left" vertical="center"/>
    </xf>
    <xf numFmtId="2" fontId="14" fillId="0" borderId="0" xfId="0" applyNumberFormat="1" applyFont="1" applyAlignment="1">
      <alignment horizontal="center" vertical="center"/>
    </xf>
    <xf numFmtId="180" fontId="22" fillId="11" borderId="0" xfId="0" applyNumberFormat="1" applyFont="1" applyFill="1" applyAlignment="1">
      <alignment horizontal="center" vertical="center"/>
    </xf>
    <xf numFmtId="0" fontId="50" fillId="0" borderId="0" xfId="0" applyFont="1"/>
    <xf numFmtId="0" fontId="50" fillId="0" borderId="0" xfId="0" applyFont="1" applyAlignment="1">
      <alignment horizontal="center"/>
    </xf>
    <xf numFmtId="0" fontId="18" fillId="0" borderId="0" xfId="0" applyFont="1" applyAlignment="1">
      <alignment horizontal="right" vertical="center"/>
    </xf>
    <xf numFmtId="190" fontId="19" fillId="2" borderId="0" xfId="0" applyNumberFormat="1" applyFont="1" applyFill="1" applyAlignment="1">
      <alignment horizontal="center" vertical="center"/>
    </xf>
    <xf numFmtId="199" fontId="28" fillId="2" borderId="0" xfId="0" applyNumberFormat="1" applyFont="1" applyFill="1" applyAlignment="1">
      <alignment horizontal="center" vertical="center"/>
    </xf>
    <xf numFmtId="180" fontId="28" fillId="0" borderId="0" xfId="0" applyNumberFormat="1" applyFont="1" applyAlignment="1">
      <alignment horizontal="center" vertical="center"/>
    </xf>
    <xf numFmtId="180" fontId="22" fillId="16" borderId="0" xfId="0" applyNumberFormat="1" applyFont="1" applyFill="1" applyAlignment="1">
      <alignment horizontal="center" vertical="center"/>
    </xf>
    <xf numFmtId="180" fontId="22" fillId="2" borderId="0" xfId="0" applyNumberFormat="1" applyFont="1" applyFill="1" applyAlignment="1">
      <alignment horizontal="center" vertical="center"/>
    </xf>
    <xf numFmtId="11" fontId="22" fillId="2" borderId="0" xfId="0" applyNumberFormat="1" applyFont="1" applyFill="1" applyAlignment="1">
      <alignment horizontal="center" vertical="center"/>
    </xf>
    <xf numFmtId="0" fontId="22" fillId="2" borderId="0" xfId="0" applyFont="1" applyFill="1" applyAlignment="1">
      <alignment vertical="center"/>
    </xf>
    <xf numFmtId="2" fontId="19" fillId="15" borderId="28" xfId="0" applyNumberFormat="1" applyFont="1" applyFill="1" applyBorder="1" applyAlignment="1">
      <alignment horizontal="center" vertical="center"/>
    </xf>
    <xf numFmtId="195" fontId="19" fillId="11" borderId="0" xfId="0" applyNumberFormat="1" applyFont="1" applyFill="1" applyAlignment="1">
      <alignment horizontal="center" vertical="center"/>
    </xf>
    <xf numFmtId="0" fontId="14" fillId="17" borderId="0" xfId="0" applyFont="1" applyFill="1" applyAlignment="1">
      <alignment horizontal="left" vertical="center"/>
    </xf>
    <xf numFmtId="0" fontId="14" fillId="18" borderId="0" xfId="0" applyFont="1" applyFill="1" applyAlignment="1">
      <alignment horizontal="left" vertical="center"/>
    </xf>
    <xf numFmtId="0" fontId="35" fillId="0" borderId="0" xfId="0" applyFont="1" applyAlignment="1">
      <alignment horizontal="center" vertical="center"/>
    </xf>
    <xf numFmtId="194" fontId="14" fillId="0" borderId="0" xfId="0" applyNumberFormat="1" applyFont="1" applyAlignment="1">
      <alignment horizontal="center" vertical="center"/>
    </xf>
    <xf numFmtId="0" fontId="3" fillId="0" borderId="0" xfId="0" applyFont="1" applyAlignment="1">
      <alignment vertical="center"/>
    </xf>
    <xf numFmtId="164" fontId="6" fillId="0" borderId="0" xfId="0" applyNumberFormat="1" applyFont="1" applyAlignment="1">
      <alignment vertical="center"/>
    </xf>
    <xf numFmtId="164" fontId="33" fillId="0" borderId="0" xfId="0" applyNumberFormat="1" applyFont="1" applyAlignment="1">
      <alignment vertical="center"/>
    </xf>
    <xf numFmtId="164" fontId="17" fillId="0" borderId="0" xfId="0" applyNumberFormat="1" applyFont="1" applyAlignment="1">
      <alignment vertical="center"/>
    </xf>
    <xf numFmtId="164" fontId="17" fillId="0" borderId="3" xfId="0" applyNumberFormat="1" applyFont="1" applyBorder="1" applyAlignment="1">
      <alignment horizontal="right" vertical="center"/>
    </xf>
    <xf numFmtId="164" fontId="17" fillId="0" borderId="5" xfId="0" applyNumberFormat="1" applyFont="1" applyBorder="1" applyAlignment="1">
      <alignment horizontal="right" vertical="center"/>
    </xf>
    <xf numFmtId="164" fontId="17" fillId="0" borderId="7" xfId="0" applyNumberFormat="1" applyFont="1" applyBorder="1" applyAlignment="1">
      <alignment horizontal="right" vertical="center"/>
    </xf>
    <xf numFmtId="164" fontId="13" fillId="0" borderId="0" xfId="0" applyNumberFormat="1" applyFont="1" applyAlignment="1">
      <alignment vertical="center"/>
    </xf>
    <xf numFmtId="164" fontId="17" fillId="0" borderId="1" xfId="0" applyNumberFormat="1" applyFont="1" applyBorder="1" applyAlignment="1">
      <alignment vertical="center"/>
    </xf>
    <xf numFmtId="164" fontId="17" fillId="0" borderId="31" xfId="0" applyNumberFormat="1" applyFont="1" applyBorder="1" applyAlignment="1">
      <alignment vertical="center"/>
    </xf>
    <xf numFmtId="164" fontId="24" fillId="0" borderId="0" xfId="0" applyNumberFormat="1" applyFont="1" applyAlignment="1">
      <alignment vertical="center"/>
    </xf>
    <xf numFmtId="164" fontId="50" fillId="0" borderId="0" xfId="0" applyNumberFormat="1" applyFont="1"/>
    <xf numFmtId="164" fontId="19" fillId="2" borderId="0" xfId="0" applyNumberFormat="1" applyFont="1" applyFill="1" applyAlignment="1">
      <alignment vertical="center"/>
    </xf>
    <xf numFmtId="164" fontId="14" fillId="0" borderId="0" xfId="0" applyNumberFormat="1" applyFont="1" applyAlignment="1">
      <alignment vertical="center" wrapText="1"/>
    </xf>
    <xf numFmtId="164" fontId="32" fillId="0" borderId="1" xfId="0" applyNumberFormat="1" applyFont="1" applyBorder="1" applyAlignment="1">
      <alignment vertical="center"/>
    </xf>
    <xf numFmtId="164" fontId="32" fillId="0" borderId="1" xfId="0" applyNumberFormat="1" applyFont="1" applyBorder="1" applyAlignment="1">
      <alignment horizontal="center" vertical="center"/>
    </xf>
    <xf numFmtId="164" fontId="32" fillId="0" borderId="0" xfId="0" applyNumberFormat="1" applyFont="1" applyAlignment="1">
      <alignment horizontal="center" vertical="center"/>
    </xf>
    <xf numFmtId="164" fontId="17" fillId="0" borderId="0" xfId="0" applyNumberFormat="1" applyFont="1" applyAlignment="1">
      <alignment horizontal="center" vertical="center"/>
    </xf>
    <xf numFmtId="0" fontId="53" fillId="0" borderId="0" xfId="0" applyFont="1" applyAlignment="1">
      <alignment vertical="center"/>
    </xf>
    <xf numFmtId="0" fontId="31" fillId="11" borderId="9" xfId="0" applyFont="1" applyFill="1" applyBorder="1" applyAlignment="1">
      <alignment horizontal="right" vertical="center"/>
    </xf>
    <xf numFmtId="0" fontId="31" fillId="11" borderId="18" xfId="0" applyFont="1" applyFill="1" applyBorder="1" applyAlignment="1">
      <alignment horizontal="center" vertical="center"/>
    </xf>
    <xf numFmtId="0" fontId="19" fillId="0" borderId="0" xfId="0" applyFont="1" applyAlignment="1">
      <alignment horizontal="center" vertical="center"/>
    </xf>
    <xf numFmtId="12" fontId="19" fillId="0" borderId="0" xfId="0" applyNumberFormat="1" applyFont="1" applyAlignment="1">
      <alignment horizontal="center" vertical="center"/>
    </xf>
    <xf numFmtId="2" fontId="19" fillId="0" borderId="0" xfId="0" applyNumberFormat="1" applyFont="1" applyAlignment="1">
      <alignment horizontal="center" vertical="center"/>
    </xf>
    <xf numFmtId="180" fontId="55" fillId="2" borderId="0" xfId="0" applyNumberFormat="1" applyFont="1" applyFill="1" applyAlignment="1">
      <alignment horizontal="center" vertical="center"/>
    </xf>
    <xf numFmtId="0" fontId="17" fillId="19" borderId="0" xfId="0" applyFont="1" applyFill="1" applyAlignment="1">
      <alignment vertical="center"/>
    </xf>
    <xf numFmtId="199" fontId="19" fillId="2" borderId="0" xfId="0" applyNumberFormat="1" applyFont="1" applyFill="1" applyAlignment="1">
      <alignment horizontal="center" vertical="center"/>
    </xf>
    <xf numFmtId="0" fontId="19" fillId="15" borderId="0" xfId="0" applyFont="1" applyFill="1" applyAlignment="1">
      <alignment horizontal="right" vertical="center"/>
    </xf>
    <xf numFmtId="182" fontId="19" fillId="15" borderId="0" xfId="0" applyNumberFormat="1"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12" fontId="13" fillId="0" borderId="0" xfId="0" applyNumberFormat="1" applyFont="1" applyAlignment="1">
      <alignment horizontal="center" vertical="center"/>
    </xf>
    <xf numFmtId="185" fontId="31" fillId="0" borderId="0" xfId="0" applyNumberFormat="1" applyFont="1" applyAlignment="1">
      <alignment vertical="center"/>
    </xf>
    <xf numFmtId="0" fontId="2" fillId="0" borderId="0" xfId="0" applyFont="1" applyAlignment="1">
      <alignment vertical="center"/>
    </xf>
    <xf numFmtId="0" fontId="19" fillId="2" borderId="0" xfId="0" applyFont="1" applyFill="1" applyAlignment="1">
      <alignment horizontal="left" vertical="center"/>
    </xf>
    <xf numFmtId="197" fontId="19" fillId="2" borderId="0" xfId="0" applyNumberFormat="1" applyFont="1" applyFill="1" applyAlignment="1">
      <alignment horizontal="center" vertical="center"/>
    </xf>
    <xf numFmtId="0" fontId="38" fillId="0" borderId="0" xfId="0" applyFont="1" applyAlignment="1">
      <alignment horizontal="center" vertical="center"/>
    </xf>
    <xf numFmtId="191" fontId="14" fillId="10" borderId="0" xfId="0" applyNumberFormat="1" applyFont="1" applyFill="1" applyAlignment="1">
      <alignment horizontal="center" vertical="center"/>
    </xf>
    <xf numFmtId="172" fontId="46" fillId="15" borderId="18" xfId="0" applyNumberFormat="1" applyFont="1" applyFill="1" applyBorder="1" applyAlignment="1">
      <alignment horizontal="center" vertical="center"/>
    </xf>
    <xf numFmtId="172" fontId="46" fillId="15" borderId="10" xfId="0" applyNumberFormat="1" applyFont="1" applyFill="1" applyBorder="1" applyAlignment="1">
      <alignment horizontal="center" vertical="center"/>
    </xf>
    <xf numFmtId="172" fontId="49" fillId="11" borderId="0" xfId="0" applyNumberFormat="1" applyFont="1" applyFill="1" applyAlignment="1">
      <alignment horizontal="center" vertical="center"/>
    </xf>
    <xf numFmtId="198" fontId="19" fillId="2" borderId="0" xfId="0" applyNumberFormat="1" applyFont="1" applyFill="1" applyAlignment="1">
      <alignment horizontal="center" vertical="center"/>
    </xf>
    <xf numFmtId="195" fontId="19" fillId="11" borderId="0" xfId="0" applyNumberFormat="1" applyFont="1" applyFill="1" applyAlignment="1">
      <alignment horizontal="center" vertical="center"/>
    </xf>
    <xf numFmtId="180" fontId="14" fillId="3" borderId="0" xfId="0" applyNumberFormat="1" applyFont="1" applyFill="1" applyAlignment="1">
      <alignment horizontal="center" vertical="center"/>
    </xf>
    <xf numFmtId="0" fontId="14" fillId="0" borderId="0" xfId="0" applyFont="1" applyAlignment="1">
      <alignment horizontal="center" vertical="center"/>
    </xf>
    <xf numFmtId="182" fontId="19" fillId="15" borderId="18" xfId="0" applyNumberFormat="1" applyFont="1" applyFill="1" applyBorder="1" applyAlignment="1">
      <alignment horizontal="center" vertical="center"/>
    </xf>
    <xf numFmtId="182" fontId="19" fillId="15" borderId="10" xfId="0" applyNumberFormat="1" applyFont="1" applyFill="1" applyBorder="1" applyAlignment="1">
      <alignment horizontal="center" vertical="center"/>
    </xf>
    <xf numFmtId="198" fontId="30" fillId="2" borderId="0" xfId="0" applyNumberFormat="1" applyFont="1" applyFill="1" applyAlignment="1">
      <alignment horizontal="center" vertical="center"/>
    </xf>
    <xf numFmtId="175" fontId="13" fillId="0" borderId="0" xfId="0" applyNumberFormat="1" applyFont="1" applyAlignment="1">
      <alignment horizontal="center" vertical="center"/>
    </xf>
    <xf numFmtId="2" fontId="19" fillId="2" borderId="0" xfId="0" applyNumberFormat="1" applyFont="1" applyFill="1" applyAlignment="1">
      <alignment horizontal="center" vertical="center"/>
    </xf>
    <xf numFmtId="180" fontId="19" fillId="2" borderId="0" xfId="0" applyNumberFormat="1" applyFont="1" applyFill="1" applyAlignment="1">
      <alignment horizontal="center" vertical="center"/>
    </xf>
    <xf numFmtId="0" fontId="29" fillId="0" borderId="11" xfId="0" applyFont="1" applyBorder="1" applyAlignment="1">
      <alignment horizontal="center" vertical="center"/>
    </xf>
    <xf numFmtId="0" fontId="29" fillId="0" borderId="4" xfId="0" applyFont="1" applyBorder="1" applyAlignment="1">
      <alignment horizontal="center" vertical="center"/>
    </xf>
    <xf numFmtId="0" fontId="13" fillId="0" borderId="12" xfId="0" applyFont="1" applyBorder="1" applyAlignment="1">
      <alignment horizontal="center" vertical="center"/>
    </xf>
    <xf numFmtId="0" fontId="13" fillId="0" borderId="8" xfId="0" applyFont="1" applyBorder="1" applyAlignment="1">
      <alignment horizontal="center" vertical="center"/>
    </xf>
    <xf numFmtId="0" fontId="35" fillId="0" borderId="0" xfId="0" applyFont="1" applyAlignment="1">
      <alignment horizontal="center" vertical="center"/>
    </xf>
    <xf numFmtId="196" fontId="19" fillId="2" borderId="0" xfId="0" applyNumberFormat="1" applyFont="1" applyFill="1" applyAlignment="1">
      <alignment horizontal="center" vertical="center" wrapText="1"/>
    </xf>
    <xf numFmtId="0" fontId="14" fillId="0" borderId="0" xfId="0" applyFont="1" applyAlignment="1">
      <alignment horizontal="right" vertical="center"/>
    </xf>
    <xf numFmtId="0" fontId="25" fillId="7" borderId="14" xfId="0" applyFont="1" applyFill="1" applyBorder="1" applyAlignment="1">
      <alignment horizontal="center" vertical="center"/>
    </xf>
    <xf numFmtId="0" fontId="25" fillId="7" borderId="15" xfId="0" applyFont="1" applyFill="1" applyBorder="1" applyAlignment="1">
      <alignment horizontal="center" vertical="center"/>
    </xf>
    <xf numFmtId="0" fontId="25" fillId="7" borderId="16" xfId="0" applyFont="1" applyFill="1" applyBorder="1" applyAlignment="1">
      <alignment horizontal="center" vertical="center"/>
    </xf>
    <xf numFmtId="194" fontId="14" fillId="0" borderId="0" xfId="0" applyNumberFormat="1" applyFont="1" applyAlignment="1">
      <alignment horizontal="center" vertical="center"/>
    </xf>
    <xf numFmtId="0" fontId="22" fillId="8" borderId="32" xfId="1" applyFont="1" applyFill="1" applyBorder="1">
      <alignment horizontal="center" vertical="center" wrapText="1"/>
    </xf>
    <xf numFmtId="0" fontId="22" fillId="8" borderId="17" xfId="1" applyFont="1" applyFill="1" applyBorder="1">
      <alignment horizontal="center" vertical="center" wrapText="1"/>
    </xf>
    <xf numFmtId="0" fontId="22" fillId="8" borderId="13" xfId="1" applyFont="1" applyFill="1" applyBorder="1">
      <alignment horizontal="center" vertical="center" wrapText="1"/>
    </xf>
    <xf numFmtId="0" fontId="31" fillId="11" borderId="18" xfId="0" applyFont="1" applyFill="1" applyBorder="1" applyAlignment="1">
      <alignment horizontal="left" vertical="center"/>
    </xf>
    <xf numFmtId="0" fontId="31" fillId="11" borderId="10" xfId="0" applyFont="1" applyFill="1" applyBorder="1" applyAlignment="1">
      <alignment horizontal="left" vertical="center"/>
    </xf>
    <xf numFmtId="190" fontId="19" fillId="2" borderId="0" xfId="0" applyNumberFormat="1" applyFont="1" applyFill="1" applyAlignment="1">
      <alignment horizontal="center" vertical="center"/>
    </xf>
    <xf numFmtId="172" fontId="13" fillId="0" borderId="0" xfId="0" applyNumberFormat="1" applyFont="1" applyAlignment="1">
      <alignment horizontal="center" vertical="center"/>
    </xf>
    <xf numFmtId="0" fontId="22" fillId="8" borderId="19" xfId="1" applyFont="1" applyFill="1" applyBorder="1">
      <alignment horizontal="center" vertical="center" wrapText="1"/>
    </xf>
    <xf numFmtId="185" fontId="19" fillId="15" borderId="18" xfId="0" applyNumberFormat="1" applyFont="1" applyFill="1" applyBorder="1" applyAlignment="1">
      <alignment horizontal="center" vertical="center"/>
    </xf>
    <xf numFmtId="185" fontId="19" fillId="15" borderId="10" xfId="0" applyNumberFormat="1" applyFont="1" applyFill="1" applyBorder="1" applyAlignment="1">
      <alignment horizontal="center" vertical="center"/>
    </xf>
    <xf numFmtId="0" fontId="22" fillId="8" borderId="24" xfId="1" applyFont="1" applyFill="1" applyBorder="1">
      <alignment horizontal="center" vertical="center" wrapText="1"/>
    </xf>
    <xf numFmtId="0" fontId="22" fillId="8" borderId="25" xfId="1" applyFont="1" applyFill="1" applyBorder="1">
      <alignment horizontal="center" vertical="center" wrapText="1"/>
    </xf>
    <xf numFmtId="0" fontId="22" fillId="8" borderId="1" xfId="1" applyFont="1" applyFill="1">
      <alignment horizontal="center" vertical="center" wrapText="1"/>
    </xf>
    <xf numFmtId="0" fontId="22" fillId="8" borderId="27" xfId="1" applyFont="1" applyFill="1" applyBorder="1">
      <alignment horizontal="center" vertical="center" wrapText="1"/>
    </xf>
    <xf numFmtId="0" fontId="15" fillId="0" borderId="0" xfId="0" applyFont="1" applyAlignment="1">
      <alignment horizontal="center" vertical="center"/>
    </xf>
    <xf numFmtId="190" fontId="14" fillId="10" borderId="0" xfId="0" applyNumberFormat="1" applyFont="1" applyFill="1" applyAlignment="1">
      <alignment horizontal="center" vertical="center"/>
    </xf>
    <xf numFmtId="193" fontId="14" fillId="10" borderId="0" xfId="0" applyNumberFormat="1" applyFont="1" applyFill="1" applyAlignment="1">
      <alignment horizontal="center" vertical="center"/>
    </xf>
    <xf numFmtId="180" fontId="22" fillId="11" borderId="0" xfId="0" applyNumberFormat="1" applyFont="1" applyFill="1" applyAlignment="1">
      <alignment horizontal="center" vertical="center"/>
    </xf>
    <xf numFmtId="0" fontId="36" fillId="0" borderId="0" xfId="0" applyFont="1" applyAlignment="1">
      <alignment horizontal="center" vertical="center"/>
    </xf>
    <xf numFmtId="165" fontId="13" fillId="0" borderId="0" xfId="0" applyNumberFormat="1" applyFont="1" applyAlignment="1">
      <alignment horizontal="center" vertical="center"/>
    </xf>
    <xf numFmtId="0" fontId="19" fillId="2" borderId="0" xfId="0" applyFont="1" applyFill="1" applyAlignment="1">
      <alignment horizontal="center" vertical="center"/>
    </xf>
    <xf numFmtId="176" fontId="13" fillId="0" borderId="0" xfId="0" applyNumberFormat="1" applyFont="1" applyAlignment="1">
      <alignment horizontal="center" vertical="center"/>
    </xf>
    <xf numFmtId="177" fontId="46" fillId="15" borderId="18" xfId="0" applyNumberFormat="1" applyFont="1" applyFill="1" applyBorder="1" applyAlignment="1">
      <alignment horizontal="center" vertical="center"/>
    </xf>
    <xf numFmtId="177" fontId="46" fillId="15" borderId="10" xfId="0" applyNumberFormat="1" applyFont="1" applyFill="1" applyBorder="1" applyAlignment="1">
      <alignment horizontal="center" vertical="center"/>
    </xf>
    <xf numFmtId="164" fontId="13" fillId="0" borderId="0" xfId="0" applyNumberFormat="1" applyFont="1" applyAlignment="1">
      <alignment horizontal="center" vertical="center"/>
    </xf>
    <xf numFmtId="2" fontId="19" fillId="15" borderId="29" xfId="0" applyNumberFormat="1" applyFont="1" applyFill="1" applyBorder="1" applyAlignment="1">
      <alignment horizontal="center" vertical="center"/>
    </xf>
    <xf numFmtId="2" fontId="19" fillId="15" borderId="30" xfId="0" applyNumberFormat="1" applyFont="1" applyFill="1" applyBorder="1" applyAlignment="1">
      <alignment horizontal="center" vertical="center"/>
    </xf>
    <xf numFmtId="184" fontId="19" fillId="2" borderId="0" xfId="0" applyNumberFormat="1" applyFont="1" applyFill="1" applyAlignment="1">
      <alignment horizontal="center" vertical="center"/>
    </xf>
    <xf numFmtId="0" fontId="22" fillId="8" borderId="23" xfId="1" applyFont="1" applyFill="1" applyBorder="1">
      <alignment horizontal="center" vertical="center" wrapText="1"/>
    </xf>
    <xf numFmtId="0" fontId="22" fillId="8" borderId="26" xfId="1" applyFont="1" applyFill="1" applyBorder="1">
      <alignment horizontal="center" vertical="center" wrapText="1"/>
    </xf>
    <xf numFmtId="2" fontId="19" fillId="15" borderId="28" xfId="0" applyNumberFormat="1" applyFont="1" applyFill="1" applyBorder="1" applyAlignment="1">
      <alignment horizontal="center" vertical="center"/>
    </xf>
    <xf numFmtId="0" fontId="23" fillId="2" borderId="0" xfId="0" applyFont="1" applyFill="1" applyAlignment="1">
      <alignment horizontal="center" vertical="center"/>
    </xf>
    <xf numFmtId="167" fontId="19" fillId="2" borderId="0" xfId="0" applyNumberFormat="1" applyFont="1" applyFill="1" applyAlignment="1">
      <alignment horizontal="center" vertical="center"/>
    </xf>
    <xf numFmtId="0" fontId="56" fillId="20" borderId="9" xfId="0" applyFont="1" applyFill="1" applyBorder="1" applyAlignment="1">
      <alignment horizontal="center" vertical="center"/>
    </xf>
    <xf numFmtId="0" fontId="56" fillId="20" borderId="18" xfId="0" applyFont="1" applyFill="1" applyBorder="1" applyAlignment="1">
      <alignment horizontal="center" vertical="center"/>
    </xf>
    <xf numFmtId="0" fontId="56" fillId="20" borderId="10" xfId="0" applyFont="1" applyFill="1" applyBorder="1" applyAlignment="1">
      <alignment horizontal="center" vertical="center"/>
    </xf>
  </cellXfs>
  <cellStyles count="3">
    <cellStyle name="Estilo 1" xfId="2" xr:uid="{00000000-0005-0000-0000-000000000000}"/>
    <cellStyle name="Normal" xfId="0" builtinId="0"/>
    <cellStyle name="resultados" xfId="1" xr:uid="{00000000-0005-0000-0000-00000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0000CC"/>
      <color rgb="FF006699"/>
      <color rgb="FF003366"/>
      <color rgb="FFCCFFFF"/>
      <color rgb="FF0000FF"/>
      <color rgb="FF00FFCC"/>
      <color rgb="FF00FF99"/>
      <color rgb="FF9900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emf"/><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emf"/><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emf"/><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emf"/><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emf"/><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emf"/><Relationship Id="rId7" Type="http://schemas.openxmlformats.org/officeDocument/2006/relationships/image" Target="../media/image7.wmf"/><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emf"/><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emf"/><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wmf"/><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27</xdr:col>
      <xdr:colOff>69187</xdr:colOff>
      <xdr:row>607</xdr:row>
      <xdr:rowOff>0</xdr:rowOff>
    </xdr:from>
    <xdr:to>
      <xdr:col>30</xdr:col>
      <xdr:colOff>562502</xdr:colOff>
      <xdr:row>616</xdr:row>
      <xdr:rowOff>168913</xdr:rowOff>
    </xdr:to>
    <xdr:pic>
      <xdr:nvPicPr>
        <xdr:cNvPr id="83" name="Imagen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6587" y="3996313"/>
          <a:ext cx="2779315" cy="2140589"/>
        </a:xfrm>
        <a:prstGeom prst="rect">
          <a:avLst/>
        </a:prstGeom>
        <a:noFill/>
        <a:ln>
          <a:solidFill>
            <a:srgbClr val="FF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103752</xdr:colOff>
      <xdr:row>665</xdr:row>
      <xdr:rowOff>78708</xdr:rowOff>
    </xdr:from>
    <xdr:ext cx="2787366" cy="484043"/>
    <mc:AlternateContent xmlns:mc="http://schemas.openxmlformats.org/markup-compatibility/2006" xmlns:a14="http://schemas.microsoft.com/office/drawing/2010/main">
      <mc:Choice Requires="a14">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2188046" y="139950532"/>
              <a:ext cx="2787366"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PE" sz="1400" b="1" i="1">
                            <a:latin typeface="Cambria Math" panose="02040503050406030204" pitchFamily="18" charset="0"/>
                          </a:rPr>
                        </m:ctrlPr>
                      </m:sSubPr>
                      <m:e>
                        <m:r>
                          <a:rPr lang="es-PE" sz="1400" b="1" i="1">
                            <a:latin typeface="Cambria Math" panose="02040503050406030204" pitchFamily="18" charset="0"/>
                          </a:rPr>
                          <m:t>𝑽</m:t>
                        </m:r>
                      </m:e>
                      <m:sub>
                        <m:r>
                          <a:rPr lang="es-PE" sz="1400" b="1" i="1">
                            <a:latin typeface="Cambria Math" panose="02040503050406030204" pitchFamily="18" charset="0"/>
                          </a:rPr>
                          <m:t>𝒏</m:t>
                        </m:r>
                      </m:sub>
                    </m:sSub>
                    <m:r>
                      <a:rPr lang="es-PE" sz="1400" b="1" i="1">
                        <a:latin typeface="Cambria Math" panose="02040503050406030204" pitchFamily="18" charset="0"/>
                      </a:rPr>
                      <m:t>=</m:t>
                    </m:r>
                    <m:sSub>
                      <m:sSubPr>
                        <m:ctrlPr>
                          <a:rPr lang="es-PE" sz="1400" b="1" i="1">
                            <a:latin typeface="Cambria Math" panose="02040503050406030204" pitchFamily="18" charset="0"/>
                          </a:rPr>
                        </m:ctrlPr>
                      </m:sSubPr>
                      <m:e>
                        <m:r>
                          <a:rPr lang="es-PE" sz="1400" b="1" i="1">
                            <a:latin typeface="Cambria Math" panose="02040503050406030204" pitchFamily="18" charset="0"/>
                          </a:rPr>
                          <m:t>𝑨</m:t>
                        </m:r>
                      </m:e>
                      <m:sub>
                        <m:r>
                          <a:rPr lang="es-PE" sz="1400" b="1" i="1">
                            <a:latin typeface="Cambria Math" panose="02040503050406030204" pitchFamily="18" charset="0"/>
                          </a:rPr>
                          <m:t>𝒄𝒗</m:t>
                        </m:r>
                      </m:sub>
                    </m:sSub>
                    <m:d>
                      <m:dPr>
                        <m:ctrlPr>
                          <a:rPr lang="es-PE" sz="1400" b="1" i="1">
                            <a:latin typeface="Cambria Math" panose="02040503050406030204" pitchFamily="18" charset="0"/>
                          </a:rPr>
                        </m:ctrlPr>
                      </m:dPr>
                      <m:e>
                        <m:sSub>
                          <m:sSubPr>
                            <m:ctrlPr>
                              <a:rPr lang="es-PE" sz="1400" b="1" i="1">
                                <a:latin typeface="Cambria Math" panose="02040503050406030204" pitchFamily="18" charset="0"/>
                              </a:rPr>
                            </m:ctrlPr>
                          </m:sSubPr>
                          <m:e>
                            <m:r>
                              <a:rPr lang="es-PE" sz="1400" b="1" i="1">
                                <a:latin typeface="Cambria Math" panose="02040503050406030204" pitchFamily="18" charset="0"/>
                                <a:ea typeface="Cambria Math" panose="02040503050406030204" pitchFamily="18" charset="0"/>
                              </a:rPr>
                              <m:t>𝜶</m:t>
                            </m:r>
                          </m:e>
                          <m:sub>
                            <m:r>
                              <a:rPr lang="es-PE" sz="1400" b="1" i="1">
                                <a:latin typeface="Cambria Math" panose="02040503050406030204" pitchFamily="18" charset="0"/>
                              </a:rPr>
                              <m:t>𝒄</m:t>
                            </m:r>
                          </m:sub>
                        </m:sSub>
                        <m:rad>
                          <m:radPr>
                            <m:degHide m:val="on"/>
                            <m:ctrlPr>
                              <a:rPr lang="es-PE" sz="1400" b="1" i="1">
                                <a:latin typeface="Cambria Math" panose="02040503050406030204" pitchFamily="18" charset="0"/>
                              </a:rPr>
                            </m:ctrlPr>
                          </m:radPr>
                          <m:deg/>
                          <m:e>
                            <m:sSub>
                              <m:sSubPr>
                                <m:ctrlPr>
                                  <a:rPr lang="es-PE" sz="1400" b="1" i="1">
                                    <a:latin typeface="Cambria Math" panose="02040503050406030204" pitchFamily="18" charset="0"/>
                                  </a:rPr>
                                </m:ctrlPr>
                              </m:sSubPr>
                              <m:e>
                                <m:sSup>
                                  <m:sSupPr>
                                    <m:ctrlPr>
                                      <a:rPr lang="es-PE" sz="1400" b="1" i="1">
                                        <a:latin typeface="Cambria Math" panose="02040503050406030204" pitchFamily="18" charset="0"/>
                                      </a:rPr>
                                    </m:ctrlPr>
                                  </m:sSupPr>
                                  <m:e>
                                    <m:r>
                                      <a:rPr lang="es-PE" sz="1400" b="1" i="1">
                                        <a:latin typeface="Cambria Math" panose="02040503050406030204" pitchFamily="18" charset="0"/>
                                      </a:rPr>
                                      <m:t>𝒇</m:t>
                                    </m:r>
                                  </m:e>
                                  <m:sup>
                                    <m:r>
                                      <a:rPr lang="es-PE" sz="1400" b="1" i="1">
                                        <a:latin typeface="Cambria Math" panose="02040503050406030204" pitchFamily="18" charset="0"/>
                                      </a:rPr>
                                      <m:t>′</m:t>
                                    </m:r>
                                  </m:sup>
                                </m:sSup>
                              </m:e>
                              <m:sub>
                                <m:r>
                                  <a:rPr lang="es-PE" sz="1400" b="1" i="1">
                                    <a:latin typeface="Cambria Math" panose="02040503050406030204" pitchFamily="18" charset="0"/>
                                  </a:rPr>
                                  <m:t>𝒄</m:t>
                                </m:r>
                              </m:sub>
                            </m:sSub>
                          </m:e>
                        </m:rad>
                        <m:r>
                          <a:rPr lang="es-PE" sz="1400" b="1" i="1">
                            <a:latin typeface="Cambria Math" panose="02040503050406030204" pitchFamily="18" charset="0"/>
                          </a:rPr>
                          <m:t>+</m:t>
                        </m:r>
                        <m:sSub>
                          <m:sSubPr>
                            <m:ctrlPr>
                              <a:rPr lang="es-PE" sz="1400" b="1" i="1">
                                <a:latin typeface="Cambria Math" panose="02040503050406030204" pitchFamily="18" charset="0"/>
                              </a:rPr>
                            </m:ctrlPr>
                          </m:sSubPr>
                          <m:e>
                            <m:r>
                              <a:rPr lang="es-PE" sz="1400" b="1" i="1">
                                <a:latin typeface="Cambria Math" panose="02040503050406030204" pitchFamily="18" charset="0"/>
                                <a:ea typeface="Cambria Math" panose="02040503050406030204" pitchFamily="18" charset="0"/>
                              </a:rPr>
                              <m:t>𝝆</m:t>
                            </m:r>
                          </m:e>
                          <m:sub>
                            <m:r>
                              <a:rPr lang="es-PE" sz="1400" b="1" i="1">
                                <a:latin typeface="Cambria Math" panose="02040503050406030204" pitchFamily="18" charset="0"/>
                              </a:rPr>
                              <m:t>𝒏</m:t>
                            </m:r>
                          </m:sub>
                        </m:sSub>
                        <m:sSub>
                          <m:sSubPr>
                            <m:ctrlPr>
                              <a:rPr lang="es-PE" sz="1400" b="1" i="1">
                                <a:latin typeface="Cambria Math" panose="02040503050406030204" pitchFamily="18" charset="0"/>
                              </a:rPr>
                            </m:ctrlPr>
                          </m:sSubPr>
                          <m:e>
                            <m:r>
                              <a:rPr lang="es-PE" sz="1400" b="1" i="1">
                                <a:latin typeface="Cambria Math" panose="02040503050406030204" pitchFamily="18" charset="0"/>
                              </a:rPr>
                              <m:t>𝒇</m:t>
                            </m:r>
                          </m:e>
                          <m:sub>
                            <m:r>
                              <a:rPr lang="es-PE" sz="1400" b="1" i="1">
                                <a:latin typeface="Cambria Math" panose="02040503050406030204" pitchFamily="18" charset="0"/>
                              </a:rPr>
                              <m:t>𝒚</m:t>
                            </m:r>
                          </m:sub>
                        </m:sSub>
                      </m:e>
                    </m:d>
                  </m:oMath>
                </m:oMathPara>
              </a14:m>
              <a:endParaRPr lang="es-PE" sz="1400" b="1" i="1"/>
            </a:p>
          </xdr:txBody>
        </xdr:sp>
      </mc:Choice>
      <mc:Fallback xmlns="">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2188046" y="139950532"/>
              <a:ext cx="2787366"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PE" sz="1400" b="1" i="0">
                  <a:latin typeface="Cambria Math" panose="02040503050406030204" pitchFamily="18" charset="0"/>
                </a:rPr>
                <a:t>𝑽_𝒏=𝑨_𝒄𝒗 (</a:t>
              </a:r>
              <a:r>
                <a:rPr lang="es-PE" sz="1400" b="1" i="0">
                  <a:latin typeface="Cambria Math" panose="02040503050406030204" pitchFamily="18" charset="0"/>
                  <a:ea typeface="Cambria Math" panose="02040503050406030204" pitchFamily="18" charset="0"/>
                </a:rPr>
                <a:t>𝜶_</a:t>
              </a:r>
              <a:r>
                <a:rPr lang="es-PE" sz="1400" b="1" i="0">
                  <a:latin typeface="Cambria Math" panose="02040503050406030204" pitchFamily="18" charset="0"/>
                </a:rPr>
                <a:t>𝒄 √(〖𝒇^′〗_𝒄 )+</a:t>
              </a:r>
              <a:r>
                <a:rPr lang="es-PE" sz="1400" b="1" i="0">
                  <a:latin typeface="Cambria Math" panose="02040503050406030204" pitchFamily="18" charset="0"/>
                  <a:ea typeface="Cambria Math" panose="02040503050406030204" pitchFamily="18" charset="0"/>
                </a:rPr>
                <a:t>𝝆_</a:t>
              </a:r>
              <a:r>
                <a:rPr lang="es-PE" sz="1400" b="1" i="0">
                  <a:latin typeface="Cambria Math" panose="02040503050406030204" pitchFamily="18" charset="0"/>
                </a:rPr>
                <a:t>𝒏 𝒇_𝒚 )</a:t>
              </a:r>
              <a:endParaRPr lang="es-PE" sz="1400" b="1" i="1"/>
            </a:p>
          </xdr:txBody>
        </xdr:sp>
      </mc:Fallback>
    </mc:AlternateContent>
    <xdr:clientData/>
  </xdr:oneCellAnchor>
  <xdr:twoCellAnchor editAs="oneCell">
    <xdr:from>
      <xdr:col>1</xdr:col>
      <xdr:colOff>157442</xdr:colOff>
      <xdr:row>678</xdr:row>
      <xdr:rowOff>63313</xdr:rowOff>
    </xdr:from>
    <xdr:to>
      <xdr:col>3</xdr:col>
      <xdr:colOff>649940</xdr:colOff>
      <xdr:row>681</xdr:row>
      <xdr:rowOff>140893</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
        <a:stretch>
          <a:fillRect/>
        </a:stretch>
      </xdr:blipFill>
      <xdr:spPr>
        <a:xfrm>
          <a:off x="1199589" y="142848666"/>
          <a:ext cx="2543175" cy="749933"/>
        </a:xfrm>
        <a:prstGeom prst="rect">
          <a:avLst/>
        </a:prstGeom>
      </xdr:spPr>
    </xdr:pic>
    <xdr:clientData/>
  </xdr:twoCellAnchor>
  <xdr:twoCellAnchor>
    <xdr:from>
      <xdr:col>1</xdr:col>
      <xdr:colOff>301437</xdr:colOff>
      <xdr:row>669</xdr:row>
      <xdr:rowOff>141194</xdr:rowOff>
    </xdr:from>
    <xdr:to>
      <xdr:col>1</xdr:col>
      <xdr:colOff>773207</xdr:colOff>
      <xdr:row>673</xdr:row>
      <xdr:rowOff>78441</xdr:rowOff>
    </xdr:to>
    <xdr:sp macro="" textlink="">
      <xdr:nvSpPr>
        <xdr:cNvPr id="87" name="Abrir llave 86">
          <a:extLst>
            <a:ext uri="{FF2B5EF4-FFF2-40B4-BE49-F238E27FC236}">
              <a16:creationId xmlns:a16="http://schemas.microsoft.com/office/drawing/2014/main" id="{00000000-0008-0000-0000-000057000000}"/>
            </a:ext>
          </a:extLst>
        </xdr:cNvPr>
        <xdr:cNvSpPr/>
      </xdr:nvSpPr>
      <xdr:spPr>
        <a:xfrm>
          <a:off x="1343584" y="140909488"/>
          <a:ext cx="471770" cy="833718"/>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s-PE" sz="1100"/>
        </a:p>
      </xdr:txBody>
    </xdr:sp>
    <xdr:clientData/>
  </xdr:twoCellAnchor>
  <xdr:twoCellAnchor>
    <xdr:from>
      <xdr:col>2</xdr:col>
      <xdr:colOff>115979</xdr:colOff>
      <xdr:row>696</xdr:row>
      <xdr:rowOff>11207</xdr:rowOff>
    </xdr:from>
    <xdr:to>
      <xdr:col>6</xdr:col>
      <xdr:colOff>358588</xdr:colOff>
      <xdr:row>697</xdr:row>
      <xdr:rowOff>164593</xdr:rowOff>
    </xdr:to>
    <xdr:pic>
      <xdr:nvPicPr>
        <xdr:cNvPr id="88" name="Picture 1220">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200273" y="153778325"/>
          <a:ext cx="3570756" cy="377503"/>
        </a:xfrm>
        <a:prstGeom prst="rect">
          <a:avLst/>
        </a:prstGeom>
        <a:noFill/>
      </xdr:spPr>
    </xdr:pic>
    <xdr:clientData/>
  </xdr:twoCellAnchor>
  <xdr:twoCellAnchor editAs="oneCell">
    <xdr:from>
      <xdr:col>39</xdr:col>
      <xdr:colOff>268380</xdr:colOff>
      <xdr:row>857</xdr:row>
      <xdr:rowOff>85164</xdr:rowOff>
    </xdr:from>
    <xdr:to>
      <xdr:col>43</xdr:col>
      <xdr:colOff>552595</xdr:colOff>
      <xdr:row>873</xdr:row>
      <xdr:rowOff>84728</xdr:rowOff>
    </xdr:to>
    <xdr:pic>
      <xdr:nvPicPr>
        <xdr:cNvPr id="98" name="Imagen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
        <a:stretch>
          <a:fillRect/>
        </a:stretch>
      </xdr:blipFill>
      <xdr:spPr>
        <a:xfrm>
          <a:off x="9336180" y="71408364"/>
          <a:ext cx="3332215" cy="3495239"/>
        </a:xfrm>
        <a:prstGeom prst="rect">
          <a:avLst/>
        </a:prstGeom>
      </xdr:spPr>
    </xdr:pic>
    <xdr:clientData/>
  </xdr:twoCellAnchor>
  <xdr:twoCellAnchor editAs="oneCell">
    <xdr:from>
      <xdr:col>8</xdr:col>
      <xdr:colOff>137834</xdr:colOff>
      <xdr:row>849</xdr:row>
      <xdr:rowOff>63314</xdr:rowOff>
    </xdr:from>
    <xdr:to>
      <xdr:col>10</xdr:col>
      <xdr:colOff>134470</xdr:colOff>
      <xdr:row>851</xdr:row>
      <xdr:rowOff>155891</xdr:rowOff>
    </xdr:to>
    <xdr:pic>
      <xdr:nvPicPr>
        <xdr:cNvPr id="99" name="Imagen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5"/>
        <a:stretch>
          <a:fillRect/>
        </a:stretch>
      </xdr:blipFill>
      <xdr:spPr>
        <a:xfrm>
          <a:off x="6637246" y="181845138"/>
          <a:ext cx="1621489" cy="540812"/>
        </a:xfrm>
        <a:prstGeom prst="rect">
          <a:avLst/>
        </a:prstGeom>
      </xdr:spPr>
    </xdr:pic>
    <xdr:clientData/>
  </xdr:twoCellAnchor>
  <xdr:twoCellAnchor editAs="oneCell">
    <xdr:from>
      <xdr:col>1</xdr:col>
      <xdr:colOff>254373</xdr:colOff>
      <xdr:row>853</xdr:row>
      <xdr:rowOff>28012</xdr:rowOff>
    </xdr:from>
    <xdr:to>
      <xdr:col>5</xdr:col>
      <xdr:colOff>369794</xdr:colOff>
      <xdr:row>864</xdr:row>
      <xdr:rowOff>736</xdr:rowOff>
    </xdr:to>
    <xdr:pic>
      <xdr:nvPicPr>
        <xdr:cNvPr id="100" name="Imagen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6"/>
        <a:stretch>
          <a:fillRect/>
        </a:stretch>
      </xdr:blipFill>
      <xdr:spPr>
        <a:xfrm>
          <a:off x="1296520" y="190326306"/>
          <a:ext cx="3757333" cy="2433707"/>
        </a:xfrm>
        <a:prstGeom prst="rect">
          <a:avLst/>
        </a:prstGeom>
      </xdr:spPr>
    </xdr:pic>
    <xdr:clientData/>
  </xdr:twoCellAnchor>
  <xdr:twoCellAnchor>
    <xdr:from>
      <xdr:col>6</xdr:col>
      <xdr:colOff>22411</xdr:colOff>
      <xdr:row>865</xdr:row>
      <xdr:rowOff>156882</xdr:rowOff>
    </xdr:from>
    <xdr:to>
      <xdr:col>7</xdr:col>
      <xdr:colOff>22411</xdr:colOff>
      <xdr:row>869</xdr:row>
      <xdr:rowOff>0</xdr:rowOff>
    </xdr:to>
    <xdr:sp macro="" textlink="">
      <xdr:nvSpPr>
        <xdr:cNvPr id="101" name="Cerrar llave 100">
          <a:extLst>
            <a:ext uri="{FF2B5EF4-FFF2-40B4-BE49-F238E27FC236}">
              <a16:creationId xmlns:a16="http://schemas.microsoft.com/office/drawing/2014/main" id="{00000000-0008-0000-0000-000065000000}"/>
            </a:ext>
          </a:extLst>
        </xdr:cNvPr>
        <xdr:cNvSpPr/>
      </xdr:nvSpPr>
      <xdr:spPr>
        <a:xfrm>
          <a:off x="5434852" y="184852235"/>
          <a:ext cx="526677" cy="941293"/>
        </a:xfrm>
        <a:prstGeom prst="righ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s-PE" sz="1100"/>
        </a:p>
      </xdr:txBody>
    </xdr:sp>
    <xdr:clientData/>
  </xdr:twoCellAnchor>
  <xdr:twoCellAnchor>
    <xdr:from>
      <xdr:col>13</xdr:col>
      <xdr:colOff>475937</xdr:colOff>
      <xdr:row>859</xdr:row>
      <xdr:rowOff>212913</xdr:rowOff>
    </xdr:from>
    <xdr:to>
      <xdr:col>15</xdr:col>
      <xdr:colOff>795618</xdr:colOff>
      <xdr:row>865</xdr:row>
      <xdr:rowOff>163242</xdr:rowOff>
    </xdr:to>
    <xdr:pic>
      <xdr:nvPicPr>
        <xdr:cNvPr id="102" name="Picture 127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460378" y="184235913"/>
          <a:ext cx="2482416" cy="622682"/>
        </a:xfrm>
        <a:prstGeom prst="rect">
          <a:avLst/>
        </a:prstGeom>
        <a:noFill/>
      </xdr:spPr>
    </xdr:pic>
    <xdr:clientData/>
  </xdr:twoCellAnchor>
  <xdr:twoCellAnchor>
    <xdr:from>
      <xdr:col>13</xdr:col>
      <xdr:colOff>335810</xdr:colOff>
      <xdr:row>866</xdr:row>
      <xdr:rowOff>140005</xdr:rowOff>
    </xdr:from>
    <xdr:to>
      <xdr:col>17</xdr:col>
      <xdr:colOff>347382</xdr:colOff>
      <xdr:row>869</xdr:row>
      <xdr:rowOff>0</xdr:rowOff>
    </xdr:to>
    <xdr:pic>
      <xdr:nvPicPr>
        <xdr:cNvPr id="103" name="Picture 1274">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036928" y="111929887"/>
          <a:ext cx="3059572" cy="415418"/>
        </a:xfrm>
        <a:prstGeom prst="rect">
          <a:avLst/>
        </a:prstGeom>
        <a:noFill/>
      </xdr:spPr>
    </xdr:pic>
    <xdr:clientData/>
  </xdr:twoCellAnchor>
  <xdr:twoCellAnchor>
    <xdr:from>
      <xdr:col>40</xdr:col>
      <xdr:colOff>318494</xdr:colOff>
      <xdr:row>890</xdr:row>
      <xdr:rowOff>126163</xdr:rowOff>
    </xdr:from>
    <xdr:to>
      <xdr:col>43</xdr:col>
      <xdr:colOff>182768</xdr:colOff>
      <xdr:row>895</xdr:row>
      <xdr:rowOff>0</xdr:rowOff>
    </xdr:to>
    <xdr:pic>
      <xdr:nvPicPr>
        <xdr:cNvPr id="104" name="Picture 127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652994" y="77650138"/>
          <a:ext cx="1007274" cy="536299"/>
        </a:xfrm>
        <a:prstGeom prst="rect">
          <a:avLst/>
        </a:prstGeom>
        <a:noFill/>
      </xdr:spPr>
    </xdr:pic>
    <xdr:clientData/>
  </xdr:twoCellAnchor>
  <xdr:twoCellAnchor>
    <xdr:from>
      <xdr:col>40</xdr:col>
      <xdr:colOff>318494</xdr:colOff>
      <xdr:row>920</xdr:row>
      <xdr:rowOff>126163</xdr:rowOff>
    </xdr:from>
    <xdr:to>
      <xdr:col>43</xdr:col>
      <xdr:colOff>182768</xdr:colOff>
      <xdr:row>924</xdr:row>
      <xdr:rowOff>0</xdr:rowOff>
    </xdr:to>
    <xdr:pic>
      <xdr:nvPicPr>
        <xdr:cNvPr id="105" name="Picture 127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836094" y="118521913"/>
          <a:ext cx="2150274" cy="654887"/>
        </a:xfrm>
        <a:prstGeom prst="rect">
          <a:avLst/>
        </a:prstGeom>
        <a:noFill/>
      </xdr:spPr>
    </xdr:pic>
    <xdr:clientData/>
  </xdr:twoCellAnchor>
  <xdr:twoCellAnchor editAs="oneCell">
    <xdr:from>
      <xdr:col>13</xdr:col>
      <xdr:colOff>185457</xdr:colOff>
      <xdr:row>921</xdr:row>
      <xdr:rowOff>196100</xdr:rowOff>
    </xdr:from>
    <xdr:to>
      <xdr:col>19</xdr:col>
      <xdr:colOff>616596</xdr:colOff>
      <xdr:row>930</xdr:row>
      <xdr:rowOff>138095</xdr:rowOff>
    </xdr:to>
    <xdr:pic>
      <xdr:nvPicPr>
        <xdr:cNvPr id="106" name="42 Imagen">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9"/>
        <a:stretch>
          <a:fillRect/>
        </a:stretch>
      </xdr:blipFill>
      <xdr:spPr>
        <a:xfrm>
          <a:off x="10169898" y="210709806"/>
          <a:ext cx="6560757" cy="1959053"/>
        </a:xfrm>
        <a:prstGeom prst="rect">
          <a:avLst/>
        </a:prstGeom>
      </xdr:spPr>
    </xdr:pic>
    <xdr:clientData/>
  </xdr:twoCellAnchor>
  <xdr:oneCellAnchor>
    <xdr:from>
      <xdr:col>39</xdr:col>
      <xdr:colOff>118637</xdr:colOff>
      <xdr:row>928</xdr:row>
      <xdr:rowOff>81022</xdr:rowOff>
    </xdr:from>
    <xdr:ext cx="3296915" cy="1826335"/>
    <xdr:pic>
      <xdr:nvPicPr>
        <xdr:cNvPr id="107" name="Imagen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
        <a:stretch>
          <a:fillRect/>
        </a:stretch>
      </xdr:blipFill>
      <xdr:spPr>
        <a:xfrm>
          <a:off x="9186437" y="31475422"/>
          <a:ext cx="3296915" cy="1826335"/>
        </a:xfrm>
        <a:prstGeom prst="rect">
          <a:avLst/>
        </a:prstGeom>
      </xdr:spPr>
    </xdr:pic>
    <xdr:clientData/>
  </xdr:oneCellAnchor>
  <xdr:twoCellAnchor>
    <xdr:from>
      <xdr:col>3</xdr:col>
      <xdr:colOff>18221</xdr:colOff>
      <xdr:row>932</xdr:row>
      <xdr:rowOff>93178</xdr:rowOff>
    </xdr:from>
    <xdr:to>
      <xdr:col>3</xdr:col>
      <xdr:colOff>235322</xdr:colOff>
      <xdr:row>936</xdr:row>
      <xdr:rowOff>179294</xdr:rowOff>
    </xdr:to>
    <xdr:sp macro="" textlink="">
      <xdr:nvSpPr>
        <xdr:cNvPr id="108" name="14 Abrir llave">
          <a:extLst>
            <a:ext uri="{FF2B5EF4-FFF2-40B4-BE49-F238E27FC236}">
              <a16:creationId xmlns:a16="http://schemas.microsoft.com/office/drawing/2014/main" id="{00000000-0008-0000-0000-00006C000000}"/>
            </a:ext>
          </a:extLst>
        </xdr:cNvPr>
        <xdr:cNvSpPr/>
      </xdr:nvSpPr>
      <xdr:spPr>
        <a:xfrm>
          <a:off x="3111045" y="241860090"/>
          <a:ext cx="217101" cy="98258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PE" sz="1100"/>
        </a:p>
      </xdr:txBody>
    </xdr:sp>
    <xdr:clientData/>
  </xdr:twoCellAnchor>
  <xdr:twoCellAnchor>
    <xdr:from>
      <xdr:col>1</xdr:col>
      <xdr:colOff>866772</xdr:colOff>
      <xdr:row>1034</xdr:row>
      <xdr:rowOff>133909</xdr:rowOff>
    </xdr:from>
    <xdr:to>
      <xdr:col>5</xdr:col>
      <xdr:colOff>100852</xdr:colOff>
      <xdr:row>1035</xdr:row>
      <xdr:rowOff>201706</xdr:rowOff>
    </xdr:to>
    <xdr:pic>
      <xdr:nvPicPr>
        <xdr:cNvPr id="109" name="Picture 1220">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908919" y="223444733"/>
          <a:ext cx="2875992" cy="291914"/>
        </a:xfrm>
        <a:prstGeom prst="rect">
          <a:avLst/>
        </a:prstGeom>
        <a:noFill/>
      </xdr:spPr>
    </xdr:pic>
    <xdr:clientData/>
  </xdr:twoCellAnchor>
  <xdr:twoCellAnchor>
    <xdr:from>
      <xdr:col>40</xdr:col>
      <xdr:colOff>318494</xdr:colOff>
      <xdr:row>1062</xdr:row>
      <xdr:rowOff>126163</xdr:rowOff>
    </xdr:from>
    <xdr:to>
      <xdr:col>43</xdr:col>
      <xdr:colOff>182768</xdr:colOff>
      <xdr:row>1065</xdr:row>
      <xdr:rowOff>0</xdr:rowOff>
    </xdr:to>
    <xdr:pic>
      <xdr:nvPicPr>
        <xdr:cNvPr id="110" name="Picture 127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959919" y="124055938"/>
          <a:ext cx="2150274" cy="654887"/>
        </a:xfrm>
        <a:prstGeom prst="rect">
          <a:avLst/>
        </a:prstGeom>
        <a:noFill/>
      </xdr:spPr>
    </xdr:pic>
    <xdr:clientData/>
  </xdr:twoCellAnchor>
  <xdr:twoCellAnchor editAs="oneCell">
    <xdr:from>
      <xdr:col>5</xdr:col>
      <xdr:colOff>369234</xdr:colOff>
      <xdr:row>80</xdr:row>
      <xdr:rowOff>103204</xdr:rowOff>
    </xdr:from>
    <xdr:to>
      <xdr:col>12</xdr:col>
      <xdr:colOff>11207</xdr:colOff>
      <xdr:row>94</xdr:row>
      <xdr:rowOff>41684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1"/>
        <a:srcRect l="-1" r="66281"/>
        <a:stretch/>
      </xdr:blipFill>
      <xdr:spPr>
        <a:xfrm>
          <a:off x="5177454" y="20120944"/>
          <a:ext cx="4579733" cy="2925520"/>
        </a:xfrm>
        <a:prstGeom prst="rect">
          <a:avLst/>
        </a:prstGeom>
      </xdr:spPr>
    </xdr:pic>
    <xdr:clientData/>
  </xdr:twoCellAnchor>
  <xdr:twoCellAnchor editAs="oneCell">
    <xdr:from>
      <xdr:col>1</xdr:col>
      <xdr:colOff>49865</xdr:colOff>
      <xdr:row>156</xdr:row>
      <xdr:rowOff>129431</xdr:rowOff>
    </xdr:from>
    <xdr:to>
      <xdr:col>10</xdr:col>
      <xdr:colOff>336177</xdr:colOff>
      <xdr:row>168</xdr:row>
      <xdr:rowOff>78442</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a:stretch>
          <a:fillRect/>
        </a:stretch>
      </xdr:blipFill>
      <xdr:spPr>
        <a:xfrm>
          <a:off x="1092012" y="37590696"/>
          <a:ext cx="7368430" cy="2638422"/>
        </a:xfrm>
        <a:prstGeom prst="rect">
          <a:avLst/>
        </a:prstGeom>
      </xdr:spPr>
    </xdr:pic>
    <xdr:clientData/>
  </xdr:twoCellAnchor>
  <xdr:twoCellAnchor editAs="oneCell">
    <xdr:from>
      <xdr:col>0</xdr:col>
      <xdr:colOff>44824</xdr:colOff>
      <xdr:row>173</xdr:row>
      <xdr:rowOff>47626</xdr:rowOff>
    </xdr:from>
    <xdr:to>
      <xdr:col>12</xdr:col>
      <xdr:colOff>212912</xdr:colOff>
      <xdr:row>185</xdr:row>
      <xdr:rowOff>134471</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44824" y="41318891"/>
          <a:ext cx="9648264" cy="2776256"/>
        </a:xfrm>
        <a:prstGeom prst="rect">
          <a:avLst/>
        </a:prstGeom>
      </xdr:spPr>
    </xdr:pic>
    <xdr:clientData/>
  </xdr:twoCellAnchor>
  <xdr:twoCellAnchor editAs="oneCell">
    <xdr:from>
      <xdr:col>0</xdr:col>
      <xdr:colOff>647701</xdr:colOff>
      <xdr:row>192</xdr:row>
      <xdr:rowOff>28576</xdr:rowOff>
    </xdr:from>
    <xdr:to>
      <xdr:col>10</xdr:col>
      <xdr:colOff>306213</xdr:colOff>
      <xdr:row>204</xdr:row>
      <xdr:rowOff>72441</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647701" y="55492651"/>
          <a:ext cx="7781924" cy="2672764"/>
        </a:xfrm>
        <a:prstGeom prst="rect">
          <a:avLst/>
        </a:prstGeom>
      </xdr:spPr>
    </xdr:pic>
    <xdr:clientData/>
  </xdr:twoCellAnchor>
  <xdr:twoCellAnchor editAs="oneCell">
    <xdr:from>
      <xdr:col>0</xdr:col>
      <xdr:colOff>57150</xdr:colOff>
      <xdr:row>236</xdr:row>
      <xdr:rowOff>200025</xdr:rowOff>
    </xdr:from>
    <xdr:to>
      <xdr:col>4</xdr:col>
      <xdr:colOff>132692</xdr:colOff>
      <xdr:row>240</xdr:row>
      <xdr:rowOff>72</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57150" y="65522475"/>
          <a:ext cx="4067175" cy="668287"/>
        </a:xfrm>
        <a:prstGeom prst="rect">
          <a:avLst/>
        </a:prstGeom>
      </xdr:spPr>
    </xdr:pic>
    <xdr:clientData/>
  </xdr:twoCellAnchor>
  <xdr:twoCellAnchor editAs="oneCell">
    <xdr:from>
      <xdr:col>5</xdr:col>
      <xdr:colOff>95250</xdr:colOff>
      <xdr:row>235</xdr:row>
      <xdr:rowOff>47624</xdr:rowOff>
    </xdr:from>
    <xdr:to>
      <xdr:col>12</xdr:col>
      <xdr:colOff>100097</xdr:colOff>
      <xdr:row>243</xdr:row>
      <xdr:rowOff>4066</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6"/>
        <a:srcRect r="29198"/>
        <a:stretch/>
      </xdr:blipFill>
      <xdr:spPr>
        <a:xfrm>
          <a:off x="4257675" y="65065274"/>
          <a:ext cx="4797237" cy="1700981"/>
        </a:xfrm>
        <a:prstGeom prst="rect">
          <a:avLst/>
        </a:prstGeom>
      </xdr:spPr>
    </xdr:pic>
    <xdr:clientData/>
  </xdr:twoCellAnchor>
  <xdr:twoCellAnchor editAs="oneCell">
    <xdr:from>
      <xdr:col>0</xdr:col>
      <xdr:colOff>424143</xdr:colOff>
      <xdr:row>219</xdr:row>
      <xdr:rowOff>52108</xdr:rowOff>
    </xdr:from>
    <xdr:to>
      <xdr:col>10</xdr:col>
      <xdr:colOff>258954</xdr:colOff>
      <xdr:row>230</xdr:row>
      <xdr:rowOff>114300</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7"/>
        <a:stretch>
          <a:fillRect/>
        </a:stretch>
      </xdr:blipFill>
      <xdr:spPr>
        <a:xfrm>
          <a:off x="424143" y="50391733"/>
          <a:ext cx="7950111" cy="2472017"/>
        </a:xfrm>
        <a:prstGeom prst="rect">
          <a:avLst/>
        </a:prstGeom>
      </xdr:spPr>
    </xdr:pic>
    <xdr:clientData/>
  </xdr:twoCellAnchor>
  <xdr:twoCellAnchor editAs="oneCell">
    <xdr:from>
      <xdr:col>13</xdr:col>
      <xdr:colOff>514350</xdr:colOff>
      <xdr:row>218</xdr:row>
      <xdr:rowOff>180975</xdr:rowOff>
    </xdr:from>
    <xdr:to>
      <xdr:col>19</xdr:col>
      <xdr:colOff>276242</xdr:colOff>
      <xdr:row>234</xdr:row>
      <xdr:rowOff>94840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a:stretch>
          <a:fillRect/>
        </a:stretch>
      </xdr:blipFill>
      <xdr:spPr>
        <a:xfrm>
          <a:off x="9705975" y="61560075"/>
          <a:ext cx="5904762" cy="3276190"/>
        </a:xfrm>
        <a:prstGeom prst="rect">
          <a:avLst/>
        </a:prstGeom>
      </xdr:spPr>
    </xdr:pic>
    <xdr:clientData/>
  </xdr:twoCellAnchor>
  <xdr:twoCellAnchor editAs="oneCell">
    <xdr:from>
      <xdr:col>1</xdr:col>
      <xdr:colOff>58831</xdr:colOff>
      <xdr:row>282</xdr:row>
      <xdr:rowOff>141755</xdr:rowOff>
    </xdr:from>
    <xdr:to>
      <xdr:col>3</xdr:col>
      <xdr:colOff>642560</xdr:colOff>
      <xdr:row>286</xdr:row>
      <xdr:rowOff>133350</xdr:rowOff>
    </xdr:to>
    <xdr:pic>
      <xdr:nvPicPr>
        <xdr:cNvPr id="3" name="Imagen 2">
          <a:extLst>
            <a:ext uri="{FF2B5EF4-FFF2-40B4-BE49-F238E27FC236}">
              <a16:creationId xmlns:a16="http://schemas.microsoft.com/office/drawing/2014/main" id="{74F041AB-3F8B-4865-8974-3BDB1FCAEFA8}"/>
            </a:ext>
          </a:extLst>
        </xdr:cNvPr>
        <xdr:cNvPicPr>
          <a:picLocks noChangeAspect="1"/>
        </xdr:cNvPicPr>
      </xdr:nvPicPr>
      <xdr:blipFill>
        <a:blip xmlns:r="http://schemas.openxmlformats.org/officeDocument/2006/relationships" r:embed="rId19"/>
        <a:stretch>
          <a:fillRect/>
        </a:stretch>
      </xdr:blipFill>
      <xdr:spPr>
        <a:xfrm>
          <a:off x="773206" y="75236855"/>
          <a:ext cx="2636744" cy="867896"/>
        </a:xfrm>
        <a:prstGeom prst="rect">
          <a:avLst/>
        </a:prstGeom>
      </xdr:spPr>
    </xdr:pic>
    <xdr:clientData/>
  </xdr:twoCellAnchor>
  <xdr:twoCellAnchor editAs="oneCell">
    <xdr:from>
      <xdr:col>4</xdr:col>
      <xdr:colOff>285750</xdr:colOff>
      <xdr:row>282</xdr:row>
      <xdr:rowOff>6724</xdr:rowOff>
    </xdr:from>
    <xdr:to>
      <xdr:col>12</xdr:col>
      <xdr:colOff>149429</xdr:colOff>
      <xdr:row>291</xdr:row>
      <xdr:rowOff>168087</xdr:rowOff>
    </xdr:to>
    <xdr:pic>
      <xdr:nvPicPr>
        <xdr:cNvPr id="4" name="Imagen 3">
          <a:extLst>
            <a:ext uri="{FF2B5EF4-FFF2-40B4-BE49-F238E27FC236}">
              <a16:creationId xmlns:a16="http://schemas.microsoft.com/office/drawing/2014/main" id="{872C5702-C695-441D-811E-1F98394B170E}"/>
            </a:ext>
          </a:extLst>
        </xdr:cNvPr>
        <xdr:cNvPicPr>
          <a:picLocks noChangeAspect="1"/>
        </xdr:cNvPicPr>
      </xdr:nvPicPr>
      <xdr:blipFill>
        <a:blip xmlns:r="http://schemas.openxmlformats.org/officeDocument/2006/relationships" r:embed="rId20"/>
        <a:stretch>
          <a:fillRect/>
        </a:stretch>
      </xdr:blipFill>
      <xdr:spPr>
        <a:xfrm>
          <a:off x="3972485" y="76767018"/>
          <a:ext cx="5354561" cy="2178423"/>
        </a:xfrm>
        <a:prstGeom prst="rect">
          <a:avLst/>
        </a:prstGeom>
      </xdr:spPr>
    </xdr:pic>
    <xdr:clientData/>
  </xdr:twoCellAnchor>
  <xdr:twoCellAnchor editAs="oneCell">
    <xdr:from>
      <xdr:col>3</xdr:col>
      <xdr:colOff>987231</xdr:colOff>
      <xdr:row>293</xdr:row>
      <xdr:rowOff>26942</xdr:rowOff>
    </xdr:from>
    <xdr:to>
      <xdr:col>9</xdr:col>
      <xdr:colOff>329576</xdr:colOff>
      <xdr:row>302</xdr:row>
      <xdr:rowOff>101460</xdr:rowOff>
    </xdr:to>
    <xdr:pic>
      <xdr:nvPicPr>
        <xdr:cNvPr id="61" name="Imagen 60">
          <a:extLst>
            <a:ext uri="{FF2B5EF4-FFF2-40B4-BE49-F238E27FC236}">
              <a16:creationId xmlns:a16="http://schemas.microsoft.com/office/drawing/2014/main" id="{DB843B6F-C725-417B-8BA4-BEF72AACF3C0}"/>
            </a:ext>
          </a:extLst>
        </xdr:cNvPr>
        <xdr:cNvPicPr>
          <a:picLocks noChangeAspect="1"/>
        </xdr:cNvPicPr>
      </xdr:nvPicPr>
      <xdr:blipFill>
        <a:blip xmlns:r="http://schemas.openxmlformats.org/officeDocument/2006/relationships" r:embed="rId18"/>
        <a:stretch>
          <a:fillRect/>
        </a:stretch>
      </xdr:blipFill>
      <xdr:spPr>
        <a:xfrm>
          <a:off x="3563122" y="76044725"/>
          <a:ext cx="3678777" cy="2012650"/>
        </a:xfrm>
        <a:prstGeom prst="rect">
          <a:avLst/>
        </a:prstGeom>
      </xdr:spPr>
    </xdr:pic>
    <xdr:clientData/>
  </xdr:twoCellAnchor>
  <xdr:twoCellAnchor editAs="oneCell">
    <xdr:from>
      <xdr:col>0</xdr:col>
      <xdr:colOff>95004</xdr:colOff>
      <xdr:row>323</xdr:row>
      <xdr:rowOff>58953</xdr:rowOff>
    </xdr:from>
    <xdr:to>
      <xdr:col>7</xdr:col>
      <xdr:colOff>520829</xdr:colOff>
      <xdr:row>332</xdr:row>
      <xdr:rowOff>134471</xdr:rowOff>
    </xdr:to>
    <xdr:pic>
      <xdr:nvPicPr>
        <xdr:cNvPr id="6" name="Imagen 5">
          <a:extLst>
            <a:ext uri="{FF2B5EF4-FFF2-40B4-BE49-F238E27FC236}">
              <a16:creationId xmlns:a16="http://schemas.microsoft.com/office/drawing/2014/main" id="{4AB7A618-5B28-4935-B8DC-B4C6ED9F3806}"/>
            </a:ext>
          </a:extLst>
        </xdr:cNvPr>
        <xdr:cNvPicPr>
          <a:picLocks noChangeAspect="1"/>
        </xdr:cNvPicPr>
      </xdr:nvPicPr>
      <xdr:blipFill>
        <a:blip xmlns:r="http://schemas.openxmlformats.org/officeDocument/2006/relationships" r:embed="rId21"/>
        <a:stretch>
          <a:fillRect/>
        </a:stretch>
      </xdr:blipFill>
      <xdr:spPr>
        <a:xfrm>
          <a:off x="95004" y="75071129"/>
          <a:ext cx="6364943" cy="2092577"/>
        </a:xfrm>
        <a:prstGeom prst="rect">
          <a:avLst/>
        </a:prstGeom>
      </xdr:spPr>
    </xdr:pic>
    <xdr:clientData/>
  </xdr:twoCellAnchor>
  <xdr:twoCellAnchor editAs="oneCell">
    <xdr:from>
      <xdr:col>0</xdr:col>
      <xdr:colOff>96954</xdr:colOff>
      <xdr:row>333</xdr:row>
      <xdr:rowOff>124848</xdr:rowOff>
    </xdr:from>
    <xdr:to>
      <xdr:col>7</xdr:col>
      <xdr:colOff>515469</xdr:colOff>
      <xdr:row>344</xdr:row>
      <xdr:rowOff>112059</xdr:rowOff>
    </xdr:to>
    <xdr:pic>
      <xdr:nvPicPr>
        <xdr:cNvPr id="8" name="Imagen 7">
          <a:extLst>
            <a:ext uri="{FF2B5EF4-FFF2-40B4-BE49-F238E27FC236}">
              <a16:creationId xmlns:a16="http://schemas.microsoft.com/office/drawing/2014/main" id="{2D77E77A-DF70-4514-ADDC-64059C3A5BF0}"/>
            </a:ext>
          </a:extLst>
        </xdr:cNvPr>
        <xdr:cNvPicPr>
          <a:picLocks noChangeAspect="1"/>
        </xdr:cNvPicPr>
      </xdr:nvPicPr>
      <xdr:blipFill rotWithShape="1">
        <a:blip xmlns:r="http://schemas.openxmlformats.org/officeDocument/2006/relationships" r:embed="rId22"/>
        <a:srcRect r="2977"/>
        <a:stretch/>
      </xdr:blipFill>
      <xdr:spPr>
        <a:xfrm>
          <a:off x="96954" y="77378201"/>
          <a:ext cx="6357633" cy="2452505"/>
        </a:xfrm>
        <a:prstGeom prst="rect">
          <a:avLst/>
        </a:prstGeom>
      </xdr:spPr>
    </xdr:pic>
    <xdr:clientData/>
  </xdr:twoCellAnchor>
  <xdr:twoCellAnchor editAs="oneCell">
    <xdr:from>
      <xdr:col>9</xdr:col>
      <xdr:colOff>81362</xdr:colOff>
      <xdr:row>322</xdr:row>
      <xdr:rowOff>152496</xdr:rowOff>
    </xdr:from>
    <xdr:to>
      <xdr:col>11</xdr:col>
      <xdr:colOff>529223</xdr:colOff>
      <xdr:row>325</xdr:row>
      <xdr:rowOff>2660</xdr:rowOff>
    </xdr:to>
    <xdr:pic>
      <xdr:nvPicPr>
        <xdr:cNvPr id="10" name="Imagen 9">
          <a:extLst>
            <a:ext uri="{FF2B5EF4-FFF2-40B4-BE49-F238E27FC236}">
              <a16:creationId xmlns:a16="http://schemas.microsoft.com/office/drawing/2014/main" id="{F53F73AE-9FFC-4B8D-BB8A-C2B0041B4D3B}"/>
            </a:ext>
          </a:extLst>
        </xdr:cNvPr>
        <xdr:cNvPicPr>
          <a:picLocks noChangeAspect="1"/>
        </xdr:cNvPicPr>
      </xdr:nvPicPr>
      <xdr:blipFill rotWithShape="1">
        <a:blip xmlns:r="http://schemas.openxmlformats.org/officeDocument/2006/relationships" r:embed="rId23"/>
        <a:srcRect l="5218" t="12474" r="10338" b="19852"/>
        <a:stretch/>
      </xdr:blipFill>
      <xdr:spPr>
        <a:xfrm>
          <a:off x="7421215" y="74940555"/>
          <a:ext cx="1960655" cy="506216"/>
        </a:xfrm>
        <a:prstGeom prst="rect">
          <a:avLst/>
        </a:prstGeom>
      </xdr:spPr>
    </xdr:pic>
    <xdr:clientData/>
  </xdr:twoCellAnchor>
  <xdr:twoCellAnchor editAs="oneCell">
    <xdr:from>
      <xdr:col>8</xdr:col>
      <xdr:colOff>424362</xdr:colOff>
      <xdr:row>325</xdr:row>
      <xdr:rowOff>46772</xdr:rowOff>
    </xdr:from>
    <xdr:to>
      <xdr:col>12</xdr:col>
      <xdr:colOff>283558</xdr:colOff>
      <xdr:row>329</xdr:row>
      <xdr:rowOff>68381</xdr:rowOff>
    </xdr:to>
    <xdr:pic>
      <xdr:nvPicPr>
        <xdr:cNvPr id="15" name="Imagen 14">
          <a:extLst>
            <a:ext uri="{FF2B5EF4-FFF2-40B4-BE49-F238E27FC236}">
              <a16:creationId xmlns:a16="http://schemas.microsoft.com/office/drawing/2014/main" id="{9940B305-A723-4A49-A16B-78F86A5E4D0E}"/>
            </a:ext>
          </a:extLst>
        </xdr:cNvPr>
        <xdr:cNvPicPr>
          <a:picLocks noChangeAspect="1"/>
        </xdr:cNvPicPr>
      </xdr:nvPicPr>
      <xdr:blipFill rotWithShape="1">
        <a:blip xmlns:r="http://schemas.openxmlformats.org/officeDocument/2006/relationships" r:embed="rId24"/>
        <a:srcRect r="8846"/>
        <a:stretch/>
      </xdr:blipFill>
      <xdr:spPr>
        <a:xfrm>
          <a:off x="6923774" y="75507184"/>
          <a:ext cx="2839960" cy="918079"/>
        </a:xfrm>
        <a:prstGeom prst="rect">
          <a:avLst/>
        </a:prstGeom>
      </xdr:spPr>
    </xdr:pic>
    <xdr:clientData/>
  </xdr:twoCellAnchor>
  <xdr:oneCellAnchor>
    <xdr:from>
      <xdr:col>8</xdr:col>
      <xdr:colOff>348847</xdr:colOff>
      <xdr:row>338</xdr:row>
      <xdr:rowOff>195908</xdr:rowOff>
    </xdr:from>
    <xdr:ext cx="1367116" cy="227479"/>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57EAD7F2-E91D-4755-97E2-C696B72DFAE2}"/>
                </a:ext>
              </a:extLst>
            </xdr:cNvPr>
            <xdr:cNvSpPr txBox="1"/>
          </xdr:nvSpPr>
          <xdr:spPr>
            <a:xfrm>
              <a:off x="6270912" y="89780604"/>
              <a:ext cx="1367116" cy="2274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PE" sz="1100" b="0"/>
                <a:t>S</a:t>
              </a:r>
              <a14:m>
                <m:oMath xmlns:m="http://schemas.openxmlformats.org/officeDocument/2006/math">
                  <m:r>
                    <a:rPr lang="es-PE" sz="1100" b="0" i="1">
                      <a:latin typeface="Cambria Math" panose="02040503050406030204" pitchFamily="18" charset="0"/>
                    </a:rPr>
                    <m:t>=</m:t>
                  </m:r>
                  <m:r>
                    <a:rPr lang="es-PE" sz="1100" b="0" i="1">
                      <a:latin typeface="Cambria Math" panose="02040503050406030204" pitchFamily="18" charset="0"/>
                    </a:rPr>
                    <m:t>𝐻𝑒</m:t>
                  </m:r>
                  <m:r>
                    <a:rPr lang="es-PE" sz="1100" b="0" i="1">
                      <a:latin typeface="Cambria Math" panose="02040503050406030204" pitchFamily="18" charset="0"/>
                    </a:rPr>
                    <m:t>∗</m:t>
                  </m:r>
                  <m:r>
                    <a:rPr lang="es-PE" sz="1100" b="0" i="1">
                      <a:latin typeface="Cambria Math" panose="02040503050406030204" pitchFamily="18" charset="0"/>
                    </a:rPr>
                    <m:t>𝑡𝑎𝑛</m:t>
                  </m:r>
                  <m:r>
                    <a:rPr lang="es-PE" sz="1100" b="0" i="1">
                      <a:latin typeface="Cambria Math" panose="02040503050406030204" pitchFamily="18" charset="0"/>
                    </a:rPr>
                    <m:t>(90−∝)</m:t>
                  </m:r>
                </m:oMath>
              </a14:m>
              <a:endParaRPr lang="es-PE" sz="1100"/>
            </a:p>
          </xdr:txBody>
        </xdr:sp>
      </mc:Choice>
      <mc:Fallback xmlns="">
        <xdr:sp macro="" textlink="">
          <xdr:nvSpPr>
            <xdr:cNvPr id="31" name="CuadroTexto 30">
              <a:extLst>
                <a:ext uri="{FF2B5EF4-FFF2-40B4-BE49-F238E27FC236}">
                  <a16:creationId xmlns:a16="http://schemas.microsoft.com/office/drawing/2014/main" id="{57EAD7F2-E91D-4755-97E2-C696B72DFAE2}"/>
                </a:ext>
              </a:extLst>
            </xdr:cNvPr>
            <xdr:cNvSpPr txBox="1"/>
          </xdr:nvSpPr>
          <xdr:spPr>
            <a:xfrm>
              <a:off x="6270912" y="89780604"/>
              <a:ext cx="1367116" cy="2274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PE" sz="1100" b="0"/>
                <a:t>S</a:t>
              </a:r>
              <a:r>
                <a:rPr lang="es-PE" sz="1100" b="0" i="0">
                  <a:latin typeface="Cambria Math" panose="02040503050406030204" pitchFamily="18" charset="0"/>
                </a:rPr>
                <a:t>=𝐻𝑒∗𝑡𝑎𝑛(90−∝)</a:t>
              </a:r>
              <a:endParaRPr lang="es-PE" sz="1100"/>
            </a:p>
          </xdr:txBody>
        </xdr:sp>
      </mc:Fallback>
    </mc:AlternateContent>
    <xdr:clientData/>
  </xdr:oneCellAnchor>
  <xdr:oneCellAnchor>
    <xdr:from>
      <xdr:col>10</xdr:col>
      <xdr:colOff>201706</xdr:colOff>
      <xdr:row>338</xdr:row>
      <xdr:rowOff>212912</xdr:rowOff>
    </xdr:from>
    <xdr:ext cx="1647264" cy="212911"/>
    <mc:AlternateContent xmlns:mc="http://schemas.openxmlformats.org/markup-compatibility/2006" xmlns:a14="http://schemas.microsoft.com/office/drawing/2010/main">
      <mc:Choice Requires="a14">
        <xdr:sp macro="" textlink="">
          <xdr:nvSpPr>
            <xdr:cNvPr id="68" name="CuadroTexto 67">
              <a:extLst>
                <a:ext uri="{FF2B5EF4-FFF2-40B4-BE49-F238E27FC236}">
                  <a16:creationId xmlns:a16="http://schemas.microsoft.com/office/drawing/2014/main" id="{0B9A263B-381C-46ED-856E-C5653C1D0C77}"/>
                </a:ext>
              </a:extLst>
            </xdr:cNvPr>
            <xdr:cNvSpPr txBox="1"/>
          </xdr:nvSpPr>
          <xdr:spPr>
            <a:xfrm>
              <a:off x="7552765" y="81231441"/>
              <a:ext cx="1647264" cy="2129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PE" sz="1100" b="0" i="1">
                        <a:latin typeface="Cambria Math" panose="02040503050406030204" pitchFamily="18" charset="0"/>
                      </a:rPr>
                      <m:t>𝑤</m:t>
                    </m:r>
                    <m:r>
                      <a:rPr lang="es-PE" sz="1100" b="0" i="1">
                        <a:latin typeface="Cambria Math" panose="02040503050406030204" pitchFamily="18" charset="0"/>
                      </a:rPr>
                      <m:t>=0.5∗</m:t>
                    </m:r>
                    <m:r>
                      <a:rPr lang="el-GR" sz="1100" b="0" i="1">
                        <a:latin typeface="Cambria Math" panose="02040503050406030204" pitchFamily="18" charset="0"/>
                      </a:rPr>
                      <m:t>𝛶</m:t>
                    </m:r>
                    <m:r>
                      <a:rPr lang="es-PE" sz="1100" b="0" i="1">
                        <a:latin typeface="Cambria Math" panose="02040503050406030204" pitchFamily="18" charset="0"/>
                      </a:rPr>
                      <m:t>𝑠</m:t>
                    </m:r>
                    <m:r>
                      <a:rPr lang="es-PE" sz="1100" b="0" i="1">
                        <a:latin typeface="Cambria Math" panose="02040503050406030204" pitchFamily="18" charset="0"/>
                      </a:rPr>
                      <m:t>∗</m:t>
                    </m:r>
                    <m:r>
                      <a:rPr lang="es-PE" sz="1100" b="0" i="1">
                        <a:latin typeface="Cambria Math" panose="02040503050406030204" pitchFamily="18" charset="0"/>
                      </a:rPr>
                      <m:t>𝐿</m:t>
                    </m:r>
                    <m:r>
                      <a:rPr lang="es-PE" sz="1100" b="0" i="1">
                        <a:latin typeface="Cambria Math" panose="02040503050406030204" pitchFamily="18" charset="0"/>
                      </a:rPr>
                      <m:t>∗</m:t>
                    </m:r>
                    <m:r>
                      <a:rPr lang="es-PE" sz="1100" b="0" i="1">
                        <a:latin typeface="Cambria Math" panose="02040503050406030204" pitchFamily="18" charset="0"/>
                      </a:rPr>
                      <m:t>𝐻𝑒</m:t>
                    </m:r>
                  </m:oMath>
                </m:oMathPara>
              </a14:m>
              <a:endParaRPr lang="es-PE" sz="1100" i="1"/>
            </a:p>
          </xdr:txBody>
        </xdr:sp>
      </mc:Choice>
      <mc:Fallback xmlns="">
        <xdr:sp macro="" textlink="">
          <xdr:nvSpPr>
            <xdr:cNvPr id="68" name="CuadroTexto 67">
              <a:extLst>
                <a:ext uri="{FF2B5EF4-FFF2-40B4-BE49-F238E27FC236}">
                  <a16:creationId xmlns:a16="http://schemas.microsoft.com/office/drawing/2014/main" id="{0B9A263B-381C-46ED-856E-C5653C1D0C77}"/>
                </a:ext>
              </a:extLst>
            </xdr:cNvPr>
            <xdr:cNvSpPr txBox="1"/>
          </xdr:nvSpPr>
          <xdr:spPr>
            <a:xfrm>
              <a:off x="7552765" y="81231441"/>
              <a:ext cx="1647264" cy="2129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PE" sz="1100" b="0" i="0">
                  <a:latin typeface="Cambria Math" panose="02040503050406030204" pitchFamily="18" charset="0"/>
                </a:rPr>
                <a:t>𝑤=0.5∗</a:t>
              </a:r>
              <a:r>
                <a:rPr lang="el-GR" sz="1100" b="0" i="0">
                  <a:latin typeface="Cambria Math" panose="02040503050406030204" pitchFamily="18" charset="0"/>
                </a:rPr>
                <a:t>𝛶</a:t>
              </a:r>
              <a:r>
                <a:rPr lang="es-PE" sz="1100" b="0" i="0">
                  <a:latin typeface="Cambria Math" panose="02040503050406030204" pitchFamily="18" charset="0"/>
                </a:rPr>
                <a:t>𝑠∗𝐿∗𝐻𝑒</a:t>
              </a:r>
              <a:endParaRPr lang="es-PE" sz="1100" i="1"/>
            </a:p>
          </xdr:txBody>
        </xdr:sp>
      </mc:Fallback>
    </mc:AlternateContent>
    <xdr:clientData/>
  </xdr:oneCellAnchor>
  <xdr:oneCellAnchor>
    <xdr:from>
      <xdr:col>9</xdr:col>
      <xdr:colOff>255785</xdr:colOff>
      <xdr:row>333</xdr:row>
      <xdr:rowOff>35568</xdr:rowOff>
    </xdr:from>
    <xdr:ext cx="1715961" cy="481852"/>
    <mc:AlternateContent xmlns:mc="http://schemas.openxmlformats.org/markup-compatibility/2006" xmlns:a14="http://schemas.microsoft.com/office/drawing/2010/main">
      <mc:Choice Requires="a14">
        <xdr:sp macro="" textlink="">
          <xdr:nvSpPr>
            <xdr:cNvPr id="69" name="CuadroTexto 68">
              <a:extLst>
                <a:ext uri="{FF2B5EF4-FFF2-40B4-BE49-F238E27FC236}">
                  <a16:creationId xmlns:a16="http://schemas.microsoft.com/office/drawing/2014/main" id="{3E5FD187-1CCD-4914-8421-E0773F92BF34}"/>
                </a:ext>
              </a:extLst>
            </xdr:cNvPr>
            <xdr:cNvSpPr txBox="1"/>
          </xdr:nvSpPr>
          <xdr:spPr>
            <a:xfrm>
              <a:off x="7595638" y="77288921"/>
              <a:ext cx="1715961" cy="481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PE" sz="1200" b="0" i="1">
                            <a:latin typeface="Cambria Math" panose="02040503050406030204" pitchFamily="18" charset="0"/>
                          </a:rPr>
                        </m:ctrlPr>
                      </m:sSupPr>
                      <m:e>
                        <m:r>
                          <a:rPr lang="es-PE" sz="1200" b="0" i="1">
                            <a:latin typeface="Cambria Math" panose="02040503050406030204" pitchFamily="18" charset="0"/>
                          </a:rPr>
                          <m:t>𝑊</m:t>
                        </m:r>
                      </m:e>
                      <m:sup>
                        <m:r>
                          <a:rPr lang="es-PE" sz="1200" b="0" i="1">
                            <a:latin typeface="Cambria Math" panose="02040503050406030204" pitchFamily="18" charset="0"/>
                          </a:rPr>
                          <m:t>′</m:t>
                        </m:r>
                      </m:sup>
                    </m:sSup>
                    <m:r>
                      <a:rPr lang="es-PE" sz="1200" b="0" i="1">
                        <a:latin typeface="Cambria Math" panose="02040503050406030204" pitchFamily="18" charset="0"/>
                      </a:rPr>
                      <m:t>=</m:t>
                    </m:r>
                    <m:f>
                      <m:fPr>
                        <m:ctrlPr>
                          <a:rPr lang="es-PE" sz="1200" b="0" i="1">
                            <a:latin typeface="Cambria Math" panose="02040503050406030204" pitchFamily="18" charset="0"/>
                          </a:rPr>
                        </m:ctrlPr>
                      </m:fPr>
                      <m:num>
                        <m:r>
                          <a:rPr lang="el-GR" sz="1200" b="0" i="1">
                            <a:solidFill>
                              <a:schemeClr val="tx1"/>
                            </a:solidFill>
                            <a:effectLst/>
                            <a:latin typeface="Cambria Math" panose="02040503050406030204" pitchFamily="18" charset="0"/>
                            <a:ea typeface="+mn-ea"/>
                            <a:cs typeface="+mn-cs"/>
                          </a:rPr>
                          <m:t>𝛶</m:t>
                        </m:r>
                        <m:r>
                          <a:rPr lang="es-PE" sz="1200" b="0" i="1">
                            <a:solidFill>
                              <a:schemeClr val="tx1"/>
                            </a:solidFill>
                            <a:effectLst/>
                            <a:latin typeface="Cambria Math" panose="02040503050406030204" pitchFamily="18" charset="0"/>
                            <a:ea typeface="+mn-ea"/>
                            <a:cs typeface="+mn-cs"/>
                          </a:rPr>
                          <m:t>𝑠</m:t>
                        </m:r>
                        <m:r>
                          <a:rPr lang="es-PE" sz="1200" b="0" i="1">
                            <a:solidFill>
                              <a:schemeClr val="tx1"/>
                            </a:solidFill>
                            <a:effectLst/>
                            <a:latin typeface="Cambria Math" panose="02040503050406030204" pitchFamily="18" charset="0"/>
                            <a:ea typeface="+mn-ea"/>
                            <a:cs typeface="+mn-cs"/>
                          </a:rPr>
                          <m:t>∗</m:t>
                        </m:r>
                        <m:r>
                          <a:rPr lang="es-PE" sz="1200" b="0" i="1">
                            <a:solidFill>
                              <a:schemeClr val="tx1"/>
                            </a:solidFill>
                            <a:effectLst/>
                            <a:latin typeface="Cambria Math" panose="02040503050406030204" pitchFamily="18" charset="0"/>
                            <a:ea typeface="+mn-ea"/>
                            <a:cs typeface="+mn-cs"/>
                          </a:rPr>
                          <m:t>𝑆</m:t>
                        </m:r>
                        <m:r>
                          <a:rPr lang="es-PE" sz="1200" b="0" i="1">
                            <a:solidFill>
                              <a:schemeClr val="tx1"/>
                            </a:solidFill>
                            <a:effectLst/>
                            <a:latin typeface="Cambria Math" panose="02040503050406030204" pitchFamily="18" charset="0"/>
                            <a:ea typeface="+mn-ea"/>
                            <a:cs typeface="+mn-cs"/>
                          </a:rPr>
                          <m:t>∗</m:t>
                        </m:r>
                        <m:r>
                          <a:rPr lang="es-PE" sz="1200" b="0" i="1">
                            <a:solidFill>
                              <a:schemeClr val="tx1"/>
                            </a:solidFill>
                            <a:effectLst/>
                            <a:latin typeface="Cambria Math" panose="02040503050406030204" pitchFamily="18" charset="0"/>
                            <a:ea typeface="+mn-ea"/>
                            <a:cs typeface="+mn-cs"/>
                          </a:rPr>
                          <m:t>𝐻𝑒</m:t>
                        </m:r>
                      </m:num>
                      <m:den>
                        <m:r>
                          <a:rPr lang="es-PE" sz="1200" b="0" i="1">
                            <a:latin typeface="Cambria Math" panose="02040503050406030204" pitchFamily="18" charset="0"/>
                          </a:rPr>
                          <m:t>2</m:t>
                        </m:r>
                      </m:den>
                    </m:f>
                    <m:r>
                      <a:rPr lang="es-PE" sz="1200" b="0" i="1">
                        <a:latin typeface="Cambria Math" panose="02040503050406030204" pitchFamily="18" charset="0"/>
                      </a:rPr>
                      <m:t>+</m:t>
                    </m:r>
                    <m:r>
                      <a:rPr lang="es-PE" sz="1200" b="0" i="1">
                        <a:latin typeface="Cambria Math" panose="02040503050406030204" pitchFamily="18" charset="0"/>
                      </a:rPr>
                      <m:t>𝑞𝑆</m:t>
                    </m:r>
                  </m:oMath>
                </m:oMathPara>
              </a14:m>
              <a:endParaRPr lang="es-PE" sz="1200" i="1"/>
            </a:p>
          </xdr:txBody>
        </xdr:sp>
      </mc:Choice>
      <mc:Fallback xmlns="">
        <xdr:sp macro="" textlink="">
          <xdr:nvSpPr>
            <xdr:cNvPr id="69" name="CuadroTexto 68">
              <a:extLst>
                <a:ext uri="{FF2B5EF4-FFF2-40B4-BE49-F238E27FC236}">
                  <a16:creationId xmlns:a16="http://schemas.microsoft.com/office/drawing/2014/main" id="{3E5FD187-1CCD-4914-8421-E0773F92BF34}"/>
                </a:ext>
              </a:extLst>
            </xdr:cNvPr>
            <xdr:cNvSpPr txBox="1"/>
          </xdr:nvSpPr>
          <xdr:spPr>
            <a:xfrm>
              <a:off x="7595638" y="77288921"/>
              <a:ext cx="1715961" cy="481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PE" sz="1200" b="0" i="0">
                  <a:latin typeface="Cambria Math" panose="02040503050406030204" pitchFamily="18" charset="0"/>
                </a:rPr>
                <a:t>𝑊^′=(</a:t>
              </a:r>
              <a:r>
                <a:rPr lang="el-GR" sz="1200" b="0" i="0">
                  <a:solidFill>
                    <a:schemeClr val="tx1"/>
                  </a:solidFill>
                  <a:effectLst/>
                  <a:latin typeface="Cambria Math" panose="02040503050406030204" pitchFamily="18" charset="0"/>
                  <a:ea typeface="+mn-ea"/>
                  <a:cs typeface="+mn-cs"/>
                </a:rPr>
                <a:t>𝛶</a:t>
              </a:r>
              <a:r>
                <a:rPr lang="es-PE" sz="1200" b="0" i="0">
                  <a:solidFill>
                    <a:schemeClr val="tx1"/>
                  </a:solidFill>
                  <a:effectLst/>
                  <a:latin typeface="Cambria Math" panose="02040503050406030204" pitchFamily="18" charset="0"/>
                  <a:ea typeface="+mn-ea"/>
                  <a:cs typeface="+mn-cs"/>
                </a:rPr>
                <a:t>𝑠∗𝑆∗𝐻𝑒)/</a:t>
              </a:r>
              <a:r>
                <a:rPr lang="es-PE" sz="1200" b="0" i="0">
                  <a:latin typeface="Cambria Math" panose="02040503050406030204" pitchFamily="18" charset="0"/>
                </a:rPr>
                <a:t>2+𝑞𝑆</a:t>
              </a:r>
              <a:endParaRPr lang="es-PE" sz="1200" i="1"/>
            </a:p>
          </xdr:txBody>
        </xdr:sp>
      </mc:Fallback>
    </mc:AlternateContent>
    <xdr:clientData/>
  </xdr:oneCellAnchor>
  <xdr:oneCellAnchor>
    <xdr:from>
      <xdr:col>8</xdr:col>
      <xdr:colOff>514765</xdr:colOff>
      <xdr:row>340</xdr:row>
      <xdr:rowOff>116445</xdr:rowOff>
    </xdr:from>
    <xdr:ext cx="2458692" cy="214860"/>
    <mc:AlternateContent xmlns:mc="http://schemas.openxmlformats.org/markup-compatibility/2006" xmlns:a14="http://schemas.microsoft.com/office/drawing/2010/main">
      <mc:Choice Requires="a14">
        <xdr:sp macro="" textlink="">
          <xdr:nvSpPr>
            <xdr:cNvPr id="70" name="CuadroTexto 69">
              <a:extLst>
                <a:ext uri="{FF2B5EF4-FFF2-40B4-BE49-F238E27FC236}">
                  <a16:creationId xmlns:a16="http://schemas.microsoft.com/office/drawing/2014/main" id="{0A73E233-29F9-429E-82E9-E2F3F106EA5A}"/>
                </a:ext>
              </a:extLst>
            </xdr:cNvPr>
            <xdr:cNvSpPr txBox="1"/>
          </xdr:nvSpPr>
          <xdr:spPr>
            <a:xfrm>
              <a:off x="6436830" y="90131836"/>
              <a:ext cx="2458692" cy="214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PE" sz="1200" b="0" i="1">
                            <a:latin typeface="Cambria Math" panose="02040503050406030204" pitchFamily="18" charset="0"/>
                          </a:rPr>
                        </m:ctrlPr>
                      </m:sSupPr>
                      <m:e>
                        <m:r>
                          <a:rPr lang="es-PE" sz="1200" b="0" i="1">
                            <a:latin typeface="Cambria Math" panose="02040503050406030204" pitchFamily="18" charset="0"/>
                            <a:ea typeface="Cambria Math" panose="02040503050406030204" pitchFamily="18" charset="0"/>
                          </a:rPr>
                          <m:t>𝜎</m:t>
                        </m:r>
                        <m:r>
                          <a:rPr lang="es-PE" sz="1200" b="0" i="1">
                            <a:latin typeface="Cambria Math" panose="02040503050406030204" pitchFamily="18" charset="0"/>
                          </a:rPr>
                          <m:t>𝑊</m:t>
                        </m:r>
                      </m:e>
                      <m:sup>
                        <m:r>
                          <a:rPr lang="es-PE" sz="1200" b="0" i="1">
                            <a:latin typeface="Cambria Math" panose="02040503050406030204" pitchFamily="18" charset="0"/>
                          </a:rPr>
                          <m:t>′</m:t>
                        </m:r>
                      </m:sup>
                    </m:sSup>
                    <m:r>
                      <a:rPr lang="es-PE" sz="1200" b="0" i="1">
                        <a:latin typeface="Cambria Math" panose="02040503050406030204" pitchFamily="18" charset="0"/>
                      </a:rPr>
                      <m:t>=</m:t>
                    </m:r>
                    <m:func>
                      <m:funcPr>
                        <m:ctrlPr>
                          <a:rPr lang="es-PE" sz="1200" b="0" i="1">
                            <a:latin typeface="Cambria Math" panose="02040503050406030204" pitchFamily="18" charset="0"/>
                          </a:rPr>
                        </m:ctrlPr>
                      </m:funcPr>
                      <m:fName>
                        <m:r>
                          <m:rPr>
                            <m:sty m:val="p"/>
                          </m:rPr>
                          <a:rPr lang="es-PE" sz="1200" b="0" i="0">
                            <a:latin typeface="Cambria Math" panose="02040503050406030204" pitchFamily="18" charset="0"/>
                          </a:rPr>
                          <m:t>tan</m:t>
                        </m:r>
                      </m:fName>
                      <m:e>
                        <m:d>
                          <m:dPr>
                            <m:ctrlPr>
                              <a:rPr lang="es-PE" sz="1200" b="0" i="1">
                                <a:latin typeface="Cambria Math" panose="02040503050406030204" pitchFamily="18" charset="0"/>
                              </a:rPr>
                            </m:ctrlPr>
                          </m:dPr>
                          <m:e>
                            <m:r>
                              <a:rPr lang="es-PE" sz="1200" b="0" i="1">
                                <a:latin typeface="Cambria Math" panose="02040503050406030204" pitchFamily="18" charset="0"/>
                              </a:rPr>
                              <m:t>90−∝</m:t>
                            </m:r>
                          </m:e>
                        </m:d>
                      </m:e>
                    </m:func>
                    <m:r>
                      <a:rPr lang="es-PE" sz="1200" b="0" i="1">
                        <a:latin typeface="Cambria Math" panose="02040503050406030204" pitchFamily="18" charset="0"/>
                        <a:ea typeface="Cambria Math" panose="02040503050406030204" pitchFamily="18" charset="0"/>
                      </a:rPr>
                      <m:t>∗[</m:t>
                    </m:r>
                    <m:r>
                      <a:rPr lang="es-PE" sz="1200" b="0" i="1">
                        <a:latin typeface="Cambria Math" panose="02040503050406030204" pitchFamily="18" charset="0"/>
                        <a:ea typeface="Cambria Math" panose="02040503050406030204" pitchFamily="18" charset="0"/>
                      </a:rPr>
                      <m:t>𝑌𝑠</m:t>
                    </m:r>
                    <m:r>
                      <a:rPr lang="es-PE" sz="1200" b="0" i="1">
                        <a:latin typeface="Cambria Math" panose="02040503050406030204" pitchFamily="18" charset="0"/>
                        <a:ea typeface="Cambria Math" panose="02040503050406030204" pitchFamily="18" charset="0"/>
                      </a:rPr>
                      <m:t>∗</m:t>
                    </m:r>
                    <m:r>
                      <a:rPr lang="es-PE" sz="1200" b="0" i="1">
                        <a:latin typeface="Cambria Math" panose="02040503050406030204" pitchFamily="18" charset="0"/>
                        <a:ea typeface="Cambria Math" panose="02040503050406030204" pitchFamily="18" charset="0"/>
                      </a:rPr>
                      <m:t>𝐻</m:t>
                    </m:r>
                    <m:r>
                      <m:rPr>
                        <m:sty m:val="p"/>
                      </m:rPr>
                      <a:rPr lang="es-PE" sz="1200" b="0" i="0">
                        <a:latin typeface="Cambria Math" panose="02040503050406030204" pitchFamily="18" charset="0"/>
                        <a:ea typeface="Cambria Math" panose="02040503050406030204" pitchFamily="18" charset="0"/>
                      </a:rPr>
                      <m:t>e</m:t>
                    </m:r>
                    <m:r>
                      <a:rPr lang="es-PE" sz="1200" b="0" i="0">
                        <a:latin typeface="Cambria Math" panose="02040503050406030204" pitchFamily="18" charset="0"/>
                      </a:rPr>
                      <m:t>+</m:t>
                    </m:r>
                    <m:r>
                      <m:rPr>
                        <m:sty m:val="p"/>
                      </m:rPr>
                      <a:rPr lang="es-PE" sz="1200" b="0" i="0">
                        <a:latin typeface="Cambria Math" panose="02040503050406030204" pitchFamily="18" charset="0"/>
                      </a:rPr>
                      <m:t>q</m:t>
                    </m:r>
                    <m:r>
                      <a:rPr lang="es-PE" sz="1200" b="0" i="1">
                        <a:latin typeface="Cambria Math" panose="02040503050406030204" pitchFamily="18" charset="0"/>
                      </a:rPr>
                      <m:t>]</m:t>
                    </m:r>
                  </m:oMath>
                </m:oMathPara>
              </a14:m>
              <a:endParaRPr lang="es-PE" sz="1200"/>
            </a:p>
          </xdr:txBody>
        </xdr:sp>
      </mc:Choice>
      <mc:Fallback xmlns="">
        <xdr:sp macro="" textlink="">
          <xdr:nvSpPr>
            <xdr:cNvPr id="70" name="CuadroTexto 69">
              <a:extLst>
                <a:ext uri="{FF2B5EF4-FFF2-40B4-BE49-F238E27FC236}">
                  <a16:creationId xmlns:a16="http://schemas.microsoft.com/office/drawing/2014/main" id="{0A73E233-29F9-429E-82E9-E2F3F106EA5A}"/>
                </a:ext>
              </a:extLst>
            </xdr:cNvPr>
            <xdr:cNvSpPr txBox="1"/>
          </xdr:nvSpPr>
          <xdr:spPr>
            <a:xfrm>
              <a:off x="6436830" y="90131836"/>
              <a:ext cx="2458692" cy="214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PE" sz="1200" b="0" i="0">
                  <a:latin typeface="Cambria Math" panose="02040503050406030204" pitchFamily="18" charset="0"/>
                </a:rPr>
                <a:t>〖</a:t>
              </a:r>
              <a:r>
                <a:rPr lang="es-PE" sz="1200" b="0" i="0">
                  <a:latin typeface="Cambria Math" panose="02040503050406030204" pitchFamily="18" charset="0"/>
                  <a:ea typeface="Cambria Math" panose="02040503050406030204" pitchFamily="18" charset="0"/>
                </a:rPr>
                <a:t>𝜎</a:t>
              </a:r>
              <a:r>
                <a:rPr lang="es-PE" sz="1200" b="0" i="0">
                  <a:latin typeface="Cambria Math" panose="02040503050406030204" pitchFamily="18" charset="0"/>
                </a:rPr>
                <a:t>𝑊〗^′=tan⁡(90−∝)</a:t>
              </a:r>
              <a:r>
                <a:rPr lang="es-PE" sz="1200" b="0" i="0">
                  <a:latin typeface="Cambria Math" panose="02040503050406030204" pitchFamily="18" charset="0"/>
                  <a:ea typeface="Cambria Math" panose="02040503050406030204" pitchFamily="18" charset="0"/>
                </a:rPr>
                <a:t>∗[𝑌𝑠∗𝐻e</a:t>
              </a:r>
              <a:r>
                <a:rPr lang="es-PE" sz="1200" b="0" i="0">
                  <a:latin typeface="Cambria Math" panose="02040503050406030204" pitchFamily="18" charset="0"/>
                </a:rPr>
                <a:t>+q]</a:t>
              </a:r>
              <a:endParaRPr lang="es-PE" sz="1200"/>
            </a:p>
          </xdr:txBody>
        </xdr:sp>
      </mc:Fallback>
    </mc:AlternateContent>
    <xdr:clientData/>
  </xdr:oneCellAnchor>
  <xdr:oneCellAnchor>
    <xdr:from>
      <xdr:col>8</xdr:col>
      <xdr:colOff>139833</xdr:colOff>
      <xdr:row>335</xdr:row>
      <xdr:rowOff>18028</xdr:rowOff>
    </xdr:from>
    <xdr:ext cx="3421690" cy="504264"/>
    <mc:AlternateContent xmlns:mc="http://schemas.openxmlformats.org/markup-compatibility/2006" xmlns:a14="http://schemas.microsoft.com/office/drawing/2010/main">
      <mc:Choice Requires="a14">
        <xdr:sp macro="" textlink="">
          <xdr:nvSpPr>
            <xdr:cNvPr id="71" name="CuadroTexto 70">
              <a:extLst>
                <a:ext uri="{FF2B5EF4-FFF2-40B4-BE49-F238E27FC236}">
                  <a16:creationId xmlns:a16="http://schemas.microsoft.com/office/drawing/2014/main" id="{CD60535D-BDF2-431F-922A-D5100008D4C6}"/>
                </a:ext>
              </a:extLst>
            </xdr:cNvPr>
            <xdr:cNvSpPr txBox="1"/>
          </xdr:nvSpPr>
          <xdr:spPr>
            <a:xfrm>
              <a:off x="6061898" y="88956680"/>
              <a:ext cx="3421690" cy="504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PE" sz="1100" b="0" i="1">
                            <a:latin typeface="Cambria Math" panose="02040503050406030204" pitchFamily="18" charset="0"/>
                          </a:rPr>
                        </m:ctrlPr>
                      </m:sSupPr>
                      <m:e>
                        <m:r>
                          <a:rPr lang="es-PE" sz="1100" b="0" i="1">
                            <a:latin typeface="Cambria Math" panose="02040503050406030204" pitchFamily="18" charset="0"/>
                          </a:rPr>
                          <m:t>𝑊</m:t>
                        </m:r>
                      </m:e>
                      <m:sup>
                        <m:r>
                          <a:rPr lang="es-PE" sz="1100" b="0" i="1">
                            <a:latin typeface="Cambria Math" panose="02040503050406030204" pitchFamily="18" charset="0"/>
                          </a:rPr>
                          <m:t>′</m:t>
                        </m:r>
                      </m:sup>
                    </m:sSup>
                    <m:r>
                      <a:rPr lang="es-PE" sz="1100" b="0" i="1">
                        <a:latin typeface="Cambria Math" panose="02040503050406030204" pitchFamily="18" charset="0"/>
                      </a:rPr>
                      <m:t>=</m:t>
                    </m:r>
                    <m:f>
                      <m:fPr>
                        <m:ctrlPr>
                          <a:rPr lang="es-PE" sz="1100" b="0" i="1">
                            <a:latin typeface="Cambria Math" panose="02040503050406030204" pitchFamily="18" charset="0"/>
                          </a:rPr>
                        </m:ctrlPr>
                      </m:fPr>
                      <m:num>
                        <m:r>
                          <a:rPr lang="es-PE" sz="1100" b="0" i="1">
                            <a:latin typeface="Cambria Math" panose="02040503050406030204" pitchFamily="18" charset="0"/>
                          </a:rPr>
                          <m:t>𝑌𝑠</m:t>
                        </m:r>
                        <m:r>
                          <a:rPr lang="es-PE" sz="1100" b="0" i="1">
                            <a:latin typeface="Cambria Math" panose="02040503050406030204" pitchFamily="18" charset="0"/>
                          </a:rPr>
                          <m:t>∗</m:t>
                        </m:r>
                        <m:func>
                          <m:funcPr>
                            <m:ctrlPr>
                              <a:rPr lang="es-PE" sz="1100" b="0" i="1">
                                <a:latin typeface="Cambria Math" panose="02040503050406030204" pitchFamily="18" charset="0"/>
                              </a:rPr>
                            </m:ctrlPr>
                          </m:funcPr>
                          <m:fName>
                            <m:r>
                              <m:rPr>
                                <m:sty m:val="p"/>
                              </m:rPr>
                              <a:rPr lang="es-PE" sz="1100" b="0" i="0">
                                <a:latin typeface="Cambria Math" panose="02040503050406030204" pitchFamily="18" charset="0"/>
                              </a:rPr>
                              <m:t>tan</m:t>
                            </m:r>
                          </m:fName>
                          <m:e>
                            <m:d>
                              <m:dPr>
                                <m:ctrlPr>
                                  <a:rPr lang="es-PE" sz="1100" b="0" i="1">
                                    <a:latin typeface="Cambria Math" panose="02040503050406030204" pitchFamily="18" charset="0"/>
                                  </a:rPr>
                                </m:ctrlPr>
                              </m:dPr>
                              <m:e>
                                <m:r>
                                  <a:rPr lang="es-PE" sz="1100" b="0" i="1">
                                    <a:latin typeface="Cambria Math" panose="02040503050406030204" pitchFamily="18" charset="0"/>
                                  </a:rPr>
                                  <m:t>90−∝</m:t>
                                </m:r>
                              </m:e>
                            </m:d>
                          </m:e>
                        </m:func>
                        <m:r>
                          <a:rPr lang="es-PE" sz="1100" b="0" i="1">
                            <a:latin typeface="Cambria Math" panose="02040503050406030204" pitchFamily="18" charset="0"/>
                            <a:ea typeface="Cambria Math" panose="02040503050406030204" pitchFamily="18" charset="0"/>
                          </a:rPr>
                          <m:t>∗</m:t>
                        </m:r>
                        <m:sSup>
                          <m:sSupPr>
                            <m:ctrlPr>
                              <a:rPr lang="es-PE" sz="1100" b="0" i="1">
                                <a:latin typeface="Cambria Math" panose="02040503050406030204" pitchFamily="18" charset="0"/>
                                <a:ea typeface="Cambria Math" panose="02040503050406030204" pitchFamily="18" charset="0"/>
                              </a:rPr>
                            </m:ctrlPr>
                          </m:sSupPr>
                          <m:e>
                            <m:r>
                              <a:rPr lang="es-PE" sz="1100" b="0" i="1">
                                <a:latin typeface="Cambria Math" panose="02040503050406030204" pitchFamily="18" charset="0"/>
                                <a:ea typeface="Cambria Math" panose="02040503050406030204" pitchFamily="18" charset="0"/>
                              </a:rPr>
                              <m:t>𝐻𝑒</m:t>
                            </m:r>
                          </m:e>
                          <m:sup>
                            <m:r>
                              <a:rPr lang="es-PE" sz="1100" b="0" i="1">
                                <a:latin typeface="Cambria Math" panose="02040503050406030204" pitchFamily="18" charset="0"/>
                                <a:ea typeface="Cambria Math" panose="02040503050406030204" pitchFamily="18" charset="0"/>
                              </a:rPr>
                              <m:t>2</m:t>
                            </m:r>
                          </m:sup>
                        </m:sSup>
                      </m:num>
                      <m:den>
                        <m:r>
                          <a:rPr lang="es-PE" sz="1100" b="0" i="1">
                            <a:latin typeface="Cambria Math" panose="02040503050406030204" pitchFamily="18" charset="0"/>
                          </a:rPr>
                          <m:t>2</m:t>
                        </m:r>
                      </m:den>
                    </m:f>
                    <m:r>
                      <a:rPr lang="es-PE" sz="1100" b="0" i="0">
                        <a:latin typeface="Cambria Math" panose="02040503050406030204" pitchFamily="18" charset="0"/>
                      </a:rPr>
                      <m:t>+</m:t>
                    </m:r>
                    <m:r>
                      <m:rPr>
                        <m:sty m:val="p"/>
                      </m:rPr>
                      <a:rPr lang="es-PE" sz="1100" b="0" i="0">
                        <a:latin typeface="Cambria Math" panose="02040503050406030204" pitchFamily="18" charset="0"/>
                      </a:rPr>
                      <m:t>tan</m:t>
                    </m:r>
                    <m:d>
                      <m:dPr>
                        <m:ctrlPr>
                          <a:rPr lang="es-PE" sz="1100" b="0" i="1">
                            <a:latin typeface="Cambria Math" panose="02040503050406030204" pitchFamily="18" charset="0"/>
                          </a:rPr>
                        </m:ctrlPr>
                      </m:dPr>
                      <m:e>
                        <m:r>
                          <a:rPr lang="es-PE" sz="1100" b="0" i="0">
                            <a:latin typeface="Cambria Math" panose="02040503050406030204" pitchFamily="18" charset="0"/>
                          </a:rPr>
                          <m:t>90−</m:t>
                        </m:r>
                        <m:r>
                          <a:rPr lang="es-PE" sz="1100" b="0" i="1">
                            <a:latin typeface="Cambria Math" panose="02040503050406030204" pitchFamily="18" charset="0"/>
                            <a:ea typeface="Cambria Math" panose="02040503050406030204" pitchFamily="18" charset="0"/>
                          </a:rPr>
                          <m:t>∝</m:t>
                        </m:r>
                      </m:e>
                    </m:d>
                    <m:r>
                      <a:rPr lang="es-PE" sz="1100" b="0" i="1">
                        <a:latin typeface="Cambria Math" panose="02040503050406030204" pitchFamily="18" charset="0"/>
                        <a:ea typeface="Cambria Math" panose="02040503050406030204" pitchFamily="18" charset="0"/>
                      </a:rPr>
                      <m:t>∗</m:t>
                    </m:r>
                    <m:r>
                      <a:rPr lang="es-PE" sz="1100" b="0" i="1">
                        <a:latin typeface="Cambria Math" panose="02040503050406030204" pitchFamily="18" charset="0"/>
                        <a:ea typeface="Cambria Math" panose="02040503050406030204" pitchFamily="18" charset="0"/>
                      </a:rPr>
                      <m:t>𝑞</m:t>
                    </m:r>
                    <m:r>
                      <a:rPr lang="es-PE" sz="1100" b="0" i="1">
                        <a:latin typeface="Cambria Math" panose="02040503050406030204" pitchFamily="18" charset="0"/>
                        <a:ea typeface="Cambria Math" panose="02040503050406030204" pitchFamily="18" charset="0"/>
                      </a:rPr>
                      <m:t>∗</m:t>
                    </m:r>
                    <m:r>
                      <a:rPr lang="es-PE" sz="1100" b="0" i="1">
                        <a:latin typeface="Cambria Math" panose="02040503050406030204" pitchFamily="18" charset="0"/>
                        <a:ea typeface="Cambria Math" panose="02040503050406030204" pitchFamily="18" charset="0"/>
                      </a:rPr>
                      <m:t>𝐻𝑒</m:t>
                    </m:r>
                  </m:oMath>
                </m:oMathPara>
              </a14:m>
              <a:endParaRPr lang="es-PE" sz="1100"/>
            </a:p>
          </xdr:txBody>
        </xdr:sp>
      </mc:Choice>
      <mc:Fallback xmlns="">
        <xdr:sp macro="" textlink="">
          <xdr:nvSpPr>
            <xdr:cNvPr id="71" name="CuadroTexto 70">
              <a:extLst>
                <a:ext uri="{FF2B5EF4-FFF2-40B4-BE49-F238E27FC236}">
                  <a16:creationId xmlns:a16="http://schemas.microsoft.com/office/drawing/2014/main" id="{CD60535D-BDF2-431F-922A-D5100008D4C6}"/>
                </a:ext>
              </a:extLst>
            </xdr:cNvPr>
            <xdr:cNvSpPr txBox="1"/>
          </xdr:nvSpPr>
          <xdr:spPr>
            <a:xfrm>
              <a:off x="6061898" y="88956680"/>
              <a:ext cx="3421690" cy="504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PE" sz="1100" b="0" i="0">
                  <a:latin typeface="Cambria Math" panose="02040503050406030204" pitchFamily="18" charset="0"/>
                </a:rPr>
                <a:t>𝑊^′=(𝑌𝑠∗tan⁡(90−∝)</a:t>
              </a:r>
              <a:r>
                <a:rPr lang="es-PE" sz="1100" b="0" i="0">
                  <a:latin typeface="Cambria Math" panose="02040503050406030204" pitchFamily="18" charset="0"/>
                  <a:ea typeface="Cambria Math" panose="02040503050406030204" pitchFamily="18" charset="0"/>
                </a:rPr>
                <a:t>∗〖𝐻𝑒〗^2)/</a:t>
              </a:r>
              <a:r>
                <a:rPr lang="es-PE" sz="1100" b="0" i="0">
                  <a:latin typeface="Cambria Math" panose="02040503050406030204" pitchFamily="18" charset="0"/>
                </a:rPr>
                <a:t>2+tan(90−</a:t>
              </a:r>
              <a:r>
                <a:rPr lang="es-PE" sz="1100" b="0" i="0">
                  <a:latin typeface="Cambria Math" panose="02040503050406030204" pitchFamily="18" charset="0"/>
                  <a:ea typeface="Cambria Math" panose="02040503050406030204" pitchFamily="18" charset="0"/>
                </a:rPr>
                <a:t>∝)∗𝑞∗𝐻𝑒</a:t>
              </a:r>
              <a:endParaRPr lang="es-PE" sz="1100"/>
            </a:p>
          </xdr:txBody>
        </xdr:sp>
      </mc:Fallback>
    </mc:AlternateContent>
    <xdr:clientData/>
  </xdr:oneCellAnchor>
  <xdr:twoCellAnchor>
    <xdr:from>
      <xdr:col>7</xdr:col>
      <xdr:colOff>152399</xdr:colOff>
      <xdr:row>246</xdr:row>
      <xdr:rowOff>38100</xdr:rowOff>
    </xdr:from>
    <xdr:to>
      <xdr:col>8</xdr:col>
      <xdr:colOff>552449</xdr:colOff>
      <xdr:row>249</xdr:row>
      <xdr:rowOff>0</xdr:rowOff>
    </xdr:to>
    <xdr:sp macro="" textlink="">
      <xdr:nvSpPr>
        <xdr:cNvPr id="32" name="Flecha: a la derecha 31">
          <a:extLst>
            <a:ext uri="{FF2B5EF4-FFF2-40B4-BE49-F238E27FC236}">
              <a16:creationId xmlns:a16="http://schemas.microsoft.com/office/drawing/2014/main" id="{72216678-E483-45F5-B1CA-8E630C702BD1}"/>
            </a:ext>
          </a:extLst>
        </xdr:cNvPr>
        <xdr:cNvSpPr/>
      </xdr:nvSpPr>
      <xdr:spPr>
        <a:xfrm>
          <a:off x="5400674" y="67684650"/>
          <a:ext cx="962025" cy="619125"/>
        </a:xfrm>
        <a:prstGeom prst="rightArrow">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9</xdr:col>
      <xdr:colOff>549137</xdr:colOff>
      <xdr:row>293</xdr:row>
      <xdr:rowOff>12011</xdr:rowOff>
    </xdr:from>
    <xdr:to>
      <xdr:col>12</xdr:col>
      <xdr:colOff>440440</xdr:colOff>
      <xdr:row>302</xdr:row>
      <xdr:rowOff>97734</xdr:rowOff>
    </xdr:to>
    <xdr:pic>
      <xdr:nvPicPr>
        <xdr:cNvPr id="74" name="Imagen 73">
          <a:extLst>
            <a:ext uri="{FF2B5EF4-FFF2-40B4-BE49-F238E27FC236}">
              <a16:creationId xmlns:a16="http://schemas.microsoft.com/office/drawing/2014/main" id="{3985C9C4-5F47-4898-AE6F-D43CE1D28E57}"/>
            </a:ext>
          </a:extLst>
        </xdr:cNvPr>
        <xdr:cNvPicPr>
          <a:picLocks noChangeAspect="1"/>
        </xdr:cNvPicPr>
      </xdr:nvPicPr>
      <xdr:blipFill rotWithShape="1">
        <a:blip xmlns:r="http://schemas.openxmlformats.org/officeDocument/2006/relationships" r:embed="rId14"/>
        <a:srcRect l="69308" b="21241"/>
        <a:stretch/>
      </xdr:blipFill>
      <xdr:spPr>
        <a:xfrm>
          <a:off x="7307746" y="76029794"/>
          <a:ext cx="2043320" cy="2023855"/>
        </a:xfrm>
        <a:prstGeom prst="rect">
          <a:avLst/>
        </a:prstGeom>
      </xdr:spPr>
    </xdr:pic>
    <xdr:clientData/>
  </xdr:twoCellAnchor>
  <xdr:twoCellAnchor editAs="oneCell">
    <xdr:from>
      <xdr:col>1</xdr:col>
      <xdr:colOff>294568</xdr:colOff>
      <xdr:row>297</xdr:row>
      <xdr:rowOff>67234</xdr:rowOff>
    </xdr:from>
    <xdr:to>
      <xdr:col>2</xdr:col>
      <xdr:colOff>649942</xdr:colOff>
      <xdr:row>303</xdr:row>
      <xdr:rowOff>179295</xdr:rowOff>
    </xdr:to>
    <xdr:pic>
      <xdr:nvPicPr>
        <xdr:cNvPr id="77" name="Imagen 76">
          <a:extLst>
            <a:ext uri="{FF2B5EF4-FFF2-40B4-BE49-F238E27FC236}">
              <a16:creationId xmlns:a16="http://schemas.microsoft.com/office/drawing/2014/main" id="{08900495-FE3A-43BC-B6C1-9E6A36F3A1E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rot="10800000">
          <a:off x="1011744" y="80189293"/>
          <a:ext cx="1397521" cy="1456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292376</xdr:colOff>
      <xdr:row>473</xdr:row>
      <xdr:rowOff>110158</xdr:rowOff>
    </xdr:from>
    <xdr:ext cx="1069395" cy="3740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771CB27F-4C11-4873-8E53-2B8B117A77A5}"/>
                </a:ext>
              </a:extLst>
            </xdr:cNvPr>
            <xdr:cNvSpPr txBox="1"/>
          </xdr:nvSpPr>
          <xdr:spPr>
            <a:xfrm>
              <a:off x="6214441" y="97182332"/>
              <a:ext cx="1069395"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PE" sz="1200" b="1" i="1">
                        <a:latin typeface="Cambria Math" panose="02040503050406030204" pitchFamily="18" charset="0"/>
                      </a:rPr>
                      <m:t>𝑬𝒎𝒂𝒕</m:t>
                    </m:r>
                    <m:r>
                      <a:rPr lang="es-PE" sz="1200" b="1" i="1">
                        <a:latin typeface="Cambria Math" panose="02040503050406030204" pitchFamily="18" charset="0"/>
                      </a:rPr>
                      <m:t>=</m:t>
                    </m:r>
                    <m:f>
                      <m:fPr>
                        <m:ctrlPr>
                          <a:rPr lang="es-PE" sz="1200" b="1" i="1">
                            <a:latin typeface="Cambria Math" panose="02040503050406030204" pitchFamily="18" charset="0"/>
                          </a:rPr>
                        </m:ctrlPr>
                      </m:fPr>
                      <m:num>
                        <m:r>
                          <a:rPr lang="es-PE" sz="1200" b="1" i="1">
                            <a:latin typeface="Cambria Math" panose="02040503050406030204" pitchFamily="18" charset="0"/>
                            <a:ea typeface="Cambria Math" panose="02040503050406030204" pitchFamily="18" charset="0"/>
                          </a:rPr>
                          <m:t>𝜸</m:t>
                        </m:r>
                        <m:r>
                          <a:rPr lang="es-PE" sz="1200" b="1" i="1">
                            <a:latin typeface="Cambria Math" panose="02040503050406030204" pitchFamily="18" charset="0"/>
                            <a:ea typeface="Cambria Math" panose="02040503050406030204" pitchFamily="18" charset="0"/>
                          </a:rPr>
                          <m:t>∗</m:t>
                        </m:r>
                        <m:sSup>
                          <m:sSupPr>
                            <m:ctrlPr>
                              <a:rPr lang="es-PE" sz="1200" b="1" i="1">
                                <a:latin typeface="Cambria Math" panose="02040503050406030204" pitchFamily="18" charset="0"/>
                                <a:ea typeface="Cambria Math" panose="02040503050406030204" pitchFamily="18" charset="0"/>
                              </a:rPr>
                            </m:ctrlPr>
                          </m:sSupPr>
                          <m:e>
                            <m:r>
                              <a:rPr lang="es-PE" sz="1200" b="1" i="1">
                                <a:latin typeface="Cambria Math" panose="02040503050406030204" pitchFamily="18" charset="0"/>
                                <a:ea typeface="Cambria Math" panose="02040503050406030204" pitchFamily="18" charset="0"/>
                              </a:rPr>
                              <m:t>𝑯</m:t>
                            </m:r>
                          </m:e>
                          <m:sup>
                            <m:r>
                              <a:rPr lang="es-PE" sz="1200" b="1" i="1">
                                <a:latin typeface="Cambria Math" panose="02040503050406030204" pitchFamily="18" charset="0"/>
                                <a:ea typeface="Cambria Math" panose="02040503050406030204" pitchFamily="18" charset="0"/>
                              </a:rPr>
                              <m:t>𝟐</m:t>
                            </m:r>
                          </m:sup>
                        </m:sSup>
                      </m:num>
                      <m:den>
                        <m:r>
                          <a:rPr lang="es-PE" sz="1200" b="1" i="1">
                            <a:latin typeface="Cambria Math" panose="02040503050406030204" pitchFamily="18" charset="0"/>
                          </a:rPr>
                          <m:t>𝟐</m:t>
                        </m:r>
                      </m:den>
                    </m:f>
                  </m:oMath>
                </m:oMathPara>
              </a14:m>
              <a:endParaRPr lang="es-PE" sz="1200" b="1"/>
            </a:p>
          </xdr:txBody>
        </xdr:sp>
      </mc:Choice>
      <mc:Fallback xmlns="">
        <xdr:sp macro="" textlink="">
          <xdr:nvSpPr>
            <xdr:cNvPr id="34" name="CuadroTexto 33">
              <a:extLst>
                <a:ext uri="{FF2B5EF4-FFF2-40B4-BE49-F238E27FC236}">
                  <a16:creationId xmlns:a16="http://schemas.microsoft.com/office/drawing/2014/main" id="{771CB27F-4C11-4873-8E53-2B8B117A77A5}"/>
                </a:ext>
              </a:extLst>
            </xdr:cNvPr>
            <xdr:cNvSpPr txBox="1"/>
          </xdr:nvSpPr>
          <xdr:spPr>
            <a:xfrm>
              <a:off x="6214441" y="97182332"/>
              <a:ext cx="1069395"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PE" sz="1200" b="1" i="0">
                  <a:latin typeface="Cambria Math" panose="02040503050406030204" pitchFamily="18" charset="0"/>
                </a:rPr>
                <a:t>𝑬𝒎𝒂𝒕=(</a:t>
              </a:r>
              <a:r>
                <a:rPr lang="es-PE" sz="1200" b="1" i="0">
                  <a:latin typeface="Cambria Math" panose="02040503050406030204" pitchFamily="18" charset="0"/>
                  <a:ea typeface="Cambria Math" panose="02040503050406030204" pitchFamily="18" charset="0"/>
                </a:rPr>
                <a:t>𝜸∗𝑯^𝟐)/</a:t>
              </a:r>
              <a:r>
                <a:rPr lang="es-PE" sz="1200" b="1" i="0">
                  <a:latin typeface="Cambria Math" panose="02040503050406030204" pitchFamily="18" charset="0"/>
                </a:rPr>
                <a:t>𝟐</a:t>
              </a:r>
              <a:endParaRPr lang="es-PE" sz="1200" b="1"/>
            </a:p>
          </xdr:txBody>
        </xdr:sp>
      </mc:Fallback>
    </mc:AlternateContent>
    <xdr:clientData/>
  </xdr:oneCellAnchor>
  <xdr:twoCellAnchor>
    <xdr:from>
      <xdr:col>0</xdr:col>
      <xdr:colOff>235226</xdr:colOff>
      <xdr:row>479</xdr:row>
      <xdr:rowOff>21535</xdr:rowOff>
    </xdr:from>
    <xdr:to>
      <xdr:col>1</xdr:col>
      <xdr:colOff>486189</xdr:colOff>
      <xdr:row>481</xdr:row>
      <xdr:rowOff>198782</xdr:rowOff>
    </xdr:to>
    <xdr:sp macro="" textlink="">
      <xdr:nvSpPr>
        <xdr:cNvPr id="89" name="Flecha: a la derecha 88">
          <a:extLst>
            <a:ext uri="{FF2B5EF4-FFF2-40B4-BE49-F238E27FC236}">
              <a16:creationId xmlns:a16="http://schemas.microsoft.com/office/drawing/2014/main" id="{6B019A87-E6B6-4596-B92D-FEBF399E8A60}"/>
            </a:ext>
          </a:extLst>
        </xdr:cNvPr>
        <xdr:cNvSpPr/>
      </xdr:nvSpPr>
      <xdr:spPr>
        <a:xfrm>
          <a:off x="235226" y="98385796"/>
          <a:ext cx="963267" cy="607943"/>
        </a:xfrm>
        <a:prstGeom prst="rightArrow">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425823</xdr:colOff>
      <xdr:row>476</xdr:row>
      <xdr:rowOff>187578</xdr:rowOff>
    </xdr:from>
    <xdr:to>
      <xdr:col>4</xdr:col>
      <xdr:colOff>466749</xdr:colOff>
      <xdr:row>485</xdr:row>
      <xdr:rowOff>1386</xdr:rowOff>
    </xdr:to>
    <xdr:pic>
      <xdr:nvPicPr>
        <xdr:cNvPr id="91" name="Imagen 90">
          <a:extLst>
            <a:ext uri="{FF2B5EF4-FFF2-40B4-BE49-F238E27FC236}">
              <a16:creationId xmlns:a16="http://schemas.microsoft.com/office/drawing/2014/main" id="{F6B52485-4771-413D-93F8-A1BB7FAF1EE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flipH="1">
          <a:off x="2185147" y="101690460"/>
          <a:ext cx="1945926" cy="1826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861389</xdr:colOff>
      <xdr:row>515</xdr:row>
      <xdr:rowOff>165653</xdr:rowOff>
    </xdr:from>
    <xdr:ext cx="1706218" cy="374013"/>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3382AC16-B096-4055-BE84-9A9DA90F1823}"/>
                </a:ext>
              </a:extLst>
            </xdr:cNvPr>
            <xdr:cNvSpPr txBox="1"/>
          </xdr:nvSpPr>
          <xdr:spPr>
            <a:xfrm>
              <a:off x="3544954" y="105851740"/>
              <a:ext cx="1706218"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PE" sz="1200" b="1" i="1">
                        <a:latin typeface="Cambria Math" panose="02040503050406030204" pitchFamily="18" charset="0"/>
                      </a:rPr>
                      <m:t>𝑬𝒉𝒊𝒅</m:t>
                    </m:r>
                    <m:r>
                      <a:rPr lang="es-PE" sz="1200" b="1" i="1">
                        <a:latin typeface="Cambria Math" panose="02040503050406030204" pitchFamily="18" charset="0"/>
                      </a:rPr>
                      <m:t>=</m:t>
                    </m:r>
                    <m:f>
                      <m:fPr>
                        <m:ctrlPr>
                          <a:rPr lang="es-PE" sz="1200" b="1" i="1">
                            <a:latin typeface="Cambria Math" panose="02040503050406030204" pitchFamily="18" charset="0"/>
                          </a:rPr>
                        </m:ctrlPr>
                      </m:fPr>
                      <m:num>
                        <m:r>
                          <a:rPr lang="es-PE" sz="1200" b="1" i="1">
                            <a:latin typeface="Cambria Math" panose="02040503050406030204" pitchFamily="18" charset="0"/>
                            <a:ea typeface="Cambria Math" panose="02040503050406030204" pitchFamily="18" charset="0"/>
                          </a:rPr>
                          <m:t>𝜸</m:t>
                        </m:r>
                        <m:r>
                          <a:rPr lang="es-PE" sz="1200" b="1" i="1">
                            <a:latin typeface="Cambria Math" panose="02040503050406030204" pitchFamily="18" charset="0"/>
                            <a:ea typeface="Cambria Math" panose="02040503050406030204" pitchFamily="18" charset="0"/>
                          </a:rPr>
                          <m:t>𝒂𝒈𝒖𝒂</m:t>
                        </m:r>
                        <m:r>
                          <a:rPr lang="es-PE" sz="1200" b="1" i="1">
                            <a:latin typeface="Cambria Math" panose="02040503050406030204" pitchFamily="18" charset="0"/>
                            <a:ea typeface="Cambria Math" panose="02040503050406030204" pitchFamily="18" charset="0"/>
                          </a:rPr>
                          <m:t>∗</m:t>
                        </m:r>
                        <m:sSup>
                          <m:sSupPr>
                            <m:ctrlPr>
                              <a:rPr lang="es-PE" sz="1200" b="1" i="1">
                                <a:latin typeface="Cambria Math" panose="02040503050406030204" pitchFamily="18" charset="0"/>
                                <a:ea typeface="Cambria Math" panose="02040503050406030204" pitchFamily="18" charset="0"/>
                              </a:rPr>
                            </m:ctrlPr>
                          </m:sSupPr>
                          <m:e>
                            <m:r>
                              <a:rPr lang="es-PE" sz="1200" b="1" i="1">
                                <a:latin typeface="Cambria Math" panose="02040503050406030204" pitchFamily="18" charset="0"/>
                                <a:ea typeface="Cambria Math" panose="02040503050406030204" pitchFamily="18" charset="0"/>
                              </a:rPr>
                              <m:t>𝑯</m:t>
                            </m:r>
                          </m:e>
                          <m:sup>
                            <m:r>
                              <a:rPr lang="es-PE" sz="1200" b="1" i="1">
                                <a:latin typeface="Cambria Math" panose="02040503050406030204" pitchFamily="18" charset="0"/>
                                <a:ea typeface="Cambria Math" panose="02040503050406030204" pitchFamily="18" charset="0"/>
                              </a:rPr>
                              <m:t>𝟐</m:t>
                            </m:r>
                          </m:sup>
                        </m:sSup>
                      </m:num>
                      <m:den>
                        <m:r>
                          <a:rPr lang="es-PE" sz="1200" b="1" i="1">
                            <a:latin typeface="Cambria Math" panose="02040503050406030204" pitchFamily="18" charset="0"/>
                          </a:rPr>
                          <m:t>𝟐</m:t>
                        </m:r>
                      </m:den>
                    </m:f>
                  </m:oMath>
                </m:oMathPara>
              </a14:m>
              <a:endParaRPr lang="es-PE" sz="1200" b="1"/>
            </a:p>
          </xdr:txBody>
        </xdr:sp>
      </mc:Choice>
      <mc:Fallback xmlns="">
        <xdr:sp macro="" textlink="">
          <xdr:nvSpPr>
            <xdr:cNvPr id="92" name="CuadroTexto 91">
              <a:extLst>
                <a:ext uri="{FF2B5EF4-FFF2-40B4-BE49-F238E27FC236}">
                  <a16:creationId xmlns:a16="http://schemas.microsoft.com/office/drawing/2014/main" id="{3382AC16-B096-4055-BE84-9A9DA90F1823}"/>
                </a:ext>
              </a:extLst>
            </xdr:cNvPr>
            <xdr:cNvSpPr txBox="1"/>
          </xdr:nvSpPr>
          <xdr:spPr>
            <a:xfrm>
              <a:off x="3544954" y="105851740"/>
              <a:ext cx="1706218"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PE" sz="1200" b="1" i="0">
                  <a:latin typeface="Cambria Math" panose="02040503050406030204" pitchFamily="18" charset="0"/>
                </a:rPr>
                <a:t>𝑬𝒉𝒊𝒅=(</a:t>
              </a:r>
              <a:r>
                <a:rPr lang="es-PE" sz="1200" b="1" i="0">
                  <a:latin typeface="Cambria Math" panose="02040503050406030204" pitchFamily="18" charset="0"/>
                  <a:ea typeface="Cambria Math" panose="02040503050406030204" pitchFamily="18" charset="0"/>
                </a:rPr>
                <a:t>𝜸𝒂𝒈𝒖𝒂∗𝑯^𝟐)/</a:t>
              </a:r>
              <a:r>
                <a:rPr lang="es-PE" sz="1200" b="1" i="0">
                  <a:latin typeface="Cambria Math" panose="02040503050406030204" pitchFamily="18" charset="0"/>
                </a:rPr>
                <a:t>𝟐</a:t>
              </a:r>
              <a:endParaRPr lang="es-PE" sz="1200" b="1"/>
            </a:p>
          </xdr:txBody>
        </xdr:sp>
      </mc:Fallback>
    </mc:AlternateContent>
    <xdr:clientData/>
  </xdr:oneCellAnchor>
  <xdr:twoCellAnchor>
    <xdr:from>
      <xdr:col>0</xdr:col>
      <xdr:colOff>235226</xdr:colOff>
      <xdr:row>522</xdr:row>
      <xdr:rowOff>21535</xdr:rowOff>
    </xdr:from>
    <xdr:to>
      <xdr:col>1</xdr:col>
      <xdr:colOff>486189</xdr:colOff>
      <xdr:row>524</xdr:row>
      <xdr:rowOff>198782</xdr:rowOff>
    </xdr:to>
    <xdr:sp macro="" textlink="">
      <xdr:nvSpPr>
        <xdr:cNvPr id="93" name="Flecha: a la derecha 92">
          <a:extLst>
            <a:ext uri="{FF2B5EF4-FFF2-40B4-BE49-F238E27FC236}">
              <a16:creationId xmlns:a16="http://schemas.microsoft.com/office/drawing/2014/main" id="{0F2424FD-CE9B-4FE4-8997-4BA86F5E0DDA}"/>
            </a:ext>
          </a:extLst>
        </xdr:cNvPr>
        <xdr:cNvSpPr/>
      </xdr:nvSpPr>
      <xdr:spPr>
        <a:xfrm>
          <a:off x="235226" y="98385796"/>
          <a:ext cx="963267" cy="607943"/>
        </a:xfrm>
        <a:prstGeom prst="rightArrow">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oneCellAnchor>
    <xdr:from>
      <xdr:col>2</xdr:col>
      <xdr:colOff>627528</xdr:colOff>
      <xdr:row>520</xdr:row>
      <xdr:rowOff>44825</xdr:rowOff>
    </xdr:from>
    <xdr:ext cx="1658469" cy="1747630"/>
    <xdr:pic>
      <xdr:nvPicPr>
        <xdr:cNvPr id="94" name="Imagen 93">
          <a:extLst>
            <a:ext uri="{FF2B5EF4-FFF2-40B4-BE49-F238E27FC236}">
              <a16:creationId xmlns:a16="http://schemas.microsoft.com/office/drawing/2014/main" id="{91602708-0EC0-490F-9FB4-25F50FCBC506}"/>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flipH="1">
          <a:off x="2386852" y="110960649"/>
          <a:ext cx="1658469" cy="1747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74543</xdr:colOff>
      <xdr:row>249</xdr:row>
      <xdr:rowOff>41413</xdr:rowOff>
    </xdr:from>
    <xdr:to>
      <xdr:col>17</xdr:col>
      <xdr:colOff>52143</xdr:colOff>
      <xdr:row>268</xdr:row>
      <xdr:rowOff>127651</xdr:rowOff>
    </xdr:to>
    <xdr:pic>
      <xdr:nvPicPr>
        <xdr:cNvPr id="36" name="Imagen 35">
          <a:extLst>
            <a:ext uri="{FF2B5EF4-FFF2-40B4-BE49-F238E27FC236}">
              <a16:creationId xmlns:a16="http://schemas.microsoft.com/office/drawing/2014/main" id="{AA18C596-2181-45E2-957A-A07B72D92CA4}"/>
            </a:ext>
          </a:extLst>
        </xdr:cNvPr>
        <xdr:cNvPicPr>
          <a:picLocks noChangeAspect="1"/>
        </xdr:cNvPicPr>
      </xdr:nvPicPr>
      <xdr:blipFill>
        <a:blip xmlns:r="http://schemas.openxmlformats.org/officeDocument/2006/relationships" r:embed="rId27"/>
        <a:stretch>
          <a:fillRect/>
        </a:stretch>
      </xdr:blipFill>
      <xdr:spPr>
        <a:xfrm>
          <a:off x="9723782" y="67229935"/>
          <a:ext cx="4313791" cy="4133022"/>
        </a:xfrm>
        <a:prstGeom prst="rect">
          <a:avLst/>
        </a:prstGeom>
      </xdr:spPr>
    </xdr:pic>
    <xdr:clientData/>
  </xdr:twoCellAnchor>
  <xdr:twoCellAnchor editAs="oneCell">
    <xdr:from>
      <xdr:col>0</xdr:col>
      <xdr:colOff>271864</xdr:colOff>
      <xdr:row>388</xdr:row>
      <xdr:rowOff>165165</xdr:rowOff>
    </xdr:from>
    <xdr:to>
      <xdr:col>2</xdr:col>
      <xdr:colOff>712588</xdr:colOff>
      <xdr:row>391</xdr:row>
      <xdr:rowOff>67235</xdr:rowOff>
    </xdr:to>
    <xdr:pic>
      <xdr:nvPicPr>
        <xdr:cNvPr id="39" name="Imagen 38">
          <a:extLst>
            <a:ext uri="{FF2B5EF4-FFF2-40B4-BE49-F238E27FC236}">
              <a16:creationId xmlns:a16="http://schemas.microsoft.com/office/drawing/2014/main" id="{8DCABC13-036A-4224-B544-69DB80A948FF}"/>
            </a:ext>
          </a:extLst>
        </xdr:cNvPr>
        <xdr:cNvPicPr>
          <a:picLocks noChangeAspect="1"/>
        </xdr:cNvPicPr>
      </xdr:nvPicPr>
      <xdr:blipFill rotWithShape="1">
        <a:blip xmlns:r="http://schemas.openxmlformats.org/officeDocument/2006/relationships" r:embed="rId28"/>
        <a:srcRect r="4390"/>
        <a:stretch/>
      </xdr:blipFill>
      <xdr:spPr>
        <a:xfrm>
          <a:off x="271864" y="89386400"/>
          <a:ext cx="2525018" cy="574423"/>
        </a:xfrm>
        <a:prstGeom prst="rect">
          <a:avLst/>
        </a:prstGeom>
      </xdr:spPr>
    </xdr:pic>
    <xdr:clientData/>
  </xdr:twoCellAnchor>
  <xdr:twoCellAnchor editAs="oneCell">
    <xdr:from>
      <xdr:col>0</xdr:col>
      <xdr:colOff>0</xdr:colOff>
      <xdr:row>391</xdr:row>
      <xdr:rowOff>176844</xdr:rowOff>
    </xdr:from>
    <xdr:to>
      <xdr:col>3</xdr:col>
      <xdr:colOff>529598</xdr:colOff>
      <xdr:row>395</xdr:row>
      <xdr:rowOff>109578</xdr:rowOff>
    </xdr:to>
    <xdr:pic>
      <xdr:nvPicPr>
        <xdr:cNvPr id="40" name="Imagen 39">
          <a:extLst>
            <a:ext uri="{FF2B5EF4-FFF2-40B4-BE49-F238E27FC236}">
              <a16:creationId xmlns:a16="http://schemas.microsoft.com/office/drawing/2014/main" id="{C3E200DD-5F1F-4EF6-9C2E-A4FC6334D0F7}"/>
            </a:ext>
          </a:extLst>
        </xdr:cNvPr>
        <xdr:cNvPicPr>
          <a:picLocks noChangeAspect="1"/>
        </xdr:cNvPicPr>
      </xdr:nvPicPr>
      <xdr:blipFill>
        <a:blip xmlns:r="http://schemas.openxmlformats.org/officeDocument/2006/relationships" r:embed="rId29"/>
        <a:stretch>
          <a:fillRect/>
        </a:stretch>
      </xdr:blipFill>
      <xdr:spPr>
        <a:xfrm>
          <a:off x="0" y="90070432"/>
          <a:ext cx="3622422" cy="829205"/>
        </a:xfrm>
        <a:prstGeom prst="rect">
          <a:avLst/>
        </a:prstGeom>
      </xdr:spPr>
    </xdr:pic>
    <xdr:clientData/>
  </xdr:twoCellAnchor>
  <xdr:twoCellAnchor editAs="oneCell">
    <xdr:from>
      <xdr:col>5</xdr:col>
      <xdr:colOff>351768</xdr:colOff>
      <xdr:row>387</xdr:row>
      <xdr:rowOff>207066</xdr:rowOff>
    </xdr:from>
    <xdr:to>
      <xdr:col>12</xdr:col>
      <xdr:colOff>381000</xdr:colOff>
      <xdr:row>395</xdr:row>
      <xdr:rowOff>179295</xdr:rowOff>
    </xdr:to>
    <xdr:pic>
      <xdr:nvPicPr>
        <xdr:cNvPr id="41" name="Imagen 40">
          <a:extLst>
            <a:ext uri="{FF2B5EF4-FFF2-40B4-BE49-F238E27FC236}">
              <a16:creationId xmlns:a16="http://schemas.microsoft.com/office/drawing/2014/main" id="{68BBFFF3-9FEE-4EF9-BA1E-3381F2187E81}"/>
            </a:ext>
          </a:extLst>
        </xdr:cNvPr>
        <xdr:cNvPicPr>
          <a:picLocks noChangeAspect="1"/>
        </xdr:cNvPicPr>
      </xdr:nvPicPr>
      <xdr:blipFill rotWithShape="1">
        <a:blip xmlns:r="http://schemas.openxmlformats.org/officeDocument/2006/relationships" r:embed="rId30"/>
        <a:srcRect r="353" b="-772"/>
        <a:stretch/>
      </xdr:blipFill>
      <xdr:spPr>
        <a:xfrm>
          <a:off x="5035827" y="89204184"/>
          <a:ext cx="4825349" cy="1765169"/>
        </a:xfrm>
        <a:prstGeom prst="rect">
          <a:avLst/>
        </a:prstGeom>
      </xdr:spPr>
    </xdr:pic>
    <xdr:clientData/>
  </xdr:twoCellAnchor>
  <xdr:twoCellAnchor editAs="oneCell">
    <xdr:from>
      <xdr:col>3</xdr:col>
      <xdr:colOff>549088</xdr:colOff>
      <xdr:row>388</xdr:row>
      <xdr:rowOff>31671</xdr:rowOff>
    </xdr:from>
    <xdr:to>
      <xdr:col>5</xdr:col>
      <xdr:colOff>302558</xdr:colOff>
      <xdr:row>393</xdr:row>
      <xdr:rowOff>182969</xdr:rowOff>
    </xdr:to>
    <xdr:pic>
      <xdr:nvPicPr>
        <xdr:cNvPr id="42" name="Imagen 41">
          <a:extLst>
            <a:ext uri="{FF2B5EF4-FFF2-40B4-BE49-F238E27FC236}">
              <a16:creationId xmlns:a16="http://schemas.microsoft.com/office/drawing/2014/main" id="{3E815F4F-CBBA-48D9-A312-73C32BEA7A3F}"/>
            </a:ext>
          </a:extLst>
        </xdr:cNvPr>
        <xdr:cNvPicPr>
          <a:picLocks noChangeAspect="1"/>
        </xdr:cNvPicPr>
      </xdr:nvPicPr>
      <xdr:blipFill>
        <a:blip xmlns:r="http://schemas.openxmlformats.org/officeDocument/2006/relationships" r:embed="rId31"/>
        <a:stretch>
          <a:fillRect/>
        </a:stretch>
      </xdr:blipFill>
      <xdr:spPr>
        <a:xfrm>
          <a:off x="3238500" y="122825730"/>
          <a:ext cx="1344705" cy="1271887"/>
        </a:xfrm>
        <a:prstGeom prst="rect">
          <a:avLst/>
        </a:prstGeom>
      </xdr:spPr>
    </xdr:pic>
    <xdr:clientData/>
  </xdr:twoCellAnchor>
  <xdr:twoCellAnchor editAs="oneCell">
    <xdr:from>
      <xdr:col>0</xdr:col>
      <xdr:colOff>115468</xdr:colOff>
      <xdr:row>421</xdr:row>
      <xdr:rowOff>194885</xdr:rowOff>
    </xdr:from>
    <xdr:to>
      <xdr:col>2</xdr:col>
      <xdr:colOff>380999</xdr:colOff>
      <xdr:row>424</xdr:row>
      <xdr:rowOff>138199</xdr:rowOff>
    </xdr:to>
    <xdr:pic>
      <xdr:nvPicPr>
        <xdr:cNvPr id="45" name="Imagen 44">
          <a:extLst>
            <a:ext uri="{FF2B5EF4-FFF2-40B4-BE49-F238E27FC236}">
              <a16:creationId xmlns:a16="http://schemas.microsoft.com/office/drawing/2014/main" id="{D76D56CA-17FB-4976-843D-DEFF6DC14995}"/>
            </a:ext>
          </a:extLst>
        </xdr:cNvPr>
        <xdr:cNvPicPr>
          <a:picLocks noChangeAspect="1"/>
        </xdr:cNvPicPr>
      </xdr:nvPicPr>
      <xdr:blipFill>
        <a:blip xmlns:r="http://schemas.openxmlformats.org/officeDocument/2006/relationships" r:embed="rId32"/>
        <a:stretch>
          <a:fillRect/>
        </a:stretch>
      </xdr:blipFill>
      <xdr:spPr>
        <a:xfrm>
          <a:off x="115468" y="131057179"/>
          <a:ext cx="2349825" cy="615667"/>
        </a:xfrm>
        <a:prstGeom prst="rect">
          <a:avLst/>
        </a:prstGeom>
      </xdr:spPr>
    </xdr:pic>
    <xdr:clientData/>
  </xdr:twoCellAnchor>
  <xdr:twoCellAnchor editAs="oneCell">
    <xdr:from>
      <xdr:col>7</xdr:col>
      <xdr:colOff>535934</xdr:colOff>
      <xdr:row>422</xdr:row>
      <xdr:rowOff>218269</xdr:rowOff>
    </xdr:from>
    <xdr:to>
      <xdr:col>10</xdr:col>
      <xdr:colOff>11206</xdr:colOff>
      <xdr:row>425</xdr:row>
      <xdr:rowOff>134468</xdr:rowOff>
    </xdr:to>
    <xdr:pic>
      <xdr:nvPicPr>
        <xdr:cNvPr id="46" name="Imagen 45">
          <a:extLst>
            <a:ext uri="{FF2B5EF4-FFF2-40B4-BE49-F238E27FC236}">
              <a16:creationId xmlns:a16="http://schemas.microsoft.com/office/drawing/2014/main" id="{186FA757-46EC-404A-8AAC-1441B489577E}"/>
            </a:ext>
          </a:extLst>
        </xdr:cNvPr>
        <xdr:cNvPicPr>
          <a:picLocks noChangeAspect="1"/>
        </xdr:cNvPicPr>
      </xdr:nvPicPr>
      <xdr:blipFill>
        <a:blip xmlns:r="http://schemas.openxmlformats.org/officeDocument/2006/relationships" r:embed="rId33"/>
        <a:stretch>
          <a:fillRect/>
        </a:stretch>
      </xdr:blipFill>
      <xdr:spPr>
        <a:xfrm>
          <a:off x="6038022" y="131304681"/>
          <a:ext cx="1660419" cy="588553"/>
        </a:xfrm>
        <a:prstGeom prst="rect">
          <a:avLst/>
        </a:prstGeom>
      </xdr:spPr>
    </xdr:pic>
    <xdr:clientData/>
  </xdr:twoCellAnchor>
  <xdr:twoCellAnchor>
    <xdr:from>
      <xdr:col>8</xdr:col>
      <xdr:colOff>67235</xdr:colOff>
      <xdr:row>427</xdr:row>
      <xdr:rowOff>13253</xdr:rowOff>
    </xdr:from>
    <xdr:to>
      <xdr:col>9</xdr:col>
      <xdr:colOff>324970</xdr:colOff>
      <xdr:row>430</xdr:row>
      <xdr:rowOff>44824</xdr:rowOff>
    </xdr:to>
    <xdr:sp macro="" textlink="">
      <xdr:nvSpPr>
        <xdr:cNvPr id="111" name="Flecha: a la derecha 110">
          <a:extLst>
            <a:ext uri="{FF2B5EF4-FFF2-40B4-BE49-F238E27FC236}">
              <a16:creationId xmlns:a16="http://schemas.microsoft.com/office/drawing/2014/main" id="{20D2D4FC-AB17-4443-BE9D-F2BB0ACE1DCC}"/>
            </a:ext>
          </a:extLst>
        </xdr:cNvPr>
        <xdr:cNvSpPr/>
      </xdr:nvSpPr>
      <xdr:spPr>
        <a:xfrm>
          <a:off x="6129617" y="132220253"/>
          <a:ext cx="1098177" cy="703924"/>
        </a:xfrm>
        <a:prstGeom prst="rightArrow">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lin ang="5400000" scaled="1"/>
          <a:tileRect/>
        </a:gra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17</xdr:col>
      <xdr:colOff>274787</xdr:colOff>
      <xdr:row>421</xdr:row>
      <xdr:rowOff>162585</xdr:rowOff>
    </xdr:from>
    <xdr:to>
      <xdr:col>22</xdr:col>
      <xdr:colOff>593912</xdr:colOff>
      <xdr:row>425</xdr:row>
      <xdr:rowOff>38976</xdr:rowOff>
    </xdr:to>
    <xdr:pic>
      <xdr:nvPicPr>
        <xdr:cNvPr id="112" name="Imagen 111">
          <a:extLst>
            <a:ext uri="{FF2B5EF4-FFF2-40B4-BE49-F238E27FC236}">
              <a16:creationId xmlns:a16="http://schemas.microsoft.com/office/drawing/2014/main" id="{CA64B9A7-4749-48E9-B82E-BA4A9DE69763}"/>
            </a:ext>
          </a:extLst>
        </xdr:cNvPr>
        <xdr:cNvPicPr>
          <a:picLocks noChangeAspect="1"/>
        </xdr:cNvPicPr>
      </xdr:nvPicPr>
      <xdr:blipFill>
        <a:blip xmlns:r="http://schemas.openxmlformats.org/officeDocument/2006/relationships" r:embed="rId29"/>
        <a:stretch>
          <a:fillRect/>
        </a:stretch>
      </xdr:blipFill>
      <xdr:spPr>
        <a:xfrm>
          <a:off x="13083111" y="131024879"/>
          <a:ext cx="4745448" cy="772862"/>
        </a:xfrm>
        <a:prstGeom prst="rect">
          <a:avLst/>
        </a:prstGeom>
      </xdr:spPr>
    </xdr:pic>
    <xdr:clientData/>
  </xdr:twoCellAnchor>
  <xdr:twoCellAnchor editAs="oneCell">
    <xdr:from>
      <xdr:col>0</xdr:col>
      <xdr:colOff>55055</xdr:colOff>
      <xdr:row>409</xdr:row>
      <xdr:rowOff>47260</xdr:rowOff>
    </xdr:from>
    <xdr:to>
      <xdr:col>2</xdr:col>
      <xdr:colOff>860140</xdr:colOff>
      <xdr:row>415</xdr:row>
      <xdr:rowOff>168091</xdr:rowOff>
    </xdr:to>
    <xdr:pic>
      <xdr:nvPicPr>
        <xdr:cNvPr id="54" name="Imagen 53">
          <a:extLst>
            <a:ext uri="{FF2B5EF4-FFF2-40B4-BE49-F238E27FC236}">
              <a16:creationId xmlns:a16="http://schemas.microsoft.com/office/drawing/2014/main" id="{266B8C6C-09BB-4FD8-8D1A-8ED9C9C0093D}"/>
            </a:ext>
          </a:extLst>
        </xdr:cNvPr>
        <xdr:cNvPicPr>
          <a:picLocks noChangeAspect="1"/>
        </xdr:cNvPicPr>
      </xdr:nvPicPr>
      <xdr:blipFill>
        <a:blip xmlns:r="http://schemas.openxmlformats.org/officeDocument/2006/relationships" r:embed="rId34"/>
        <a:stretch>
          <a:fillRect/>
        </a:stretch>
      </xdr:blipFill>
      <xdr:spPr>
        <a:xfrm>
          <a:off x="55055" y="128220142"/>
          <a:ext cx="2889379" cy="1465536"/>
        </a:xfrm>
        <a:prstGeom prst="rect">
          <a:avLst/>
        </a:prstGeom>
      </xdr:spPr>
    </xdr:pic>
    <xdr:clientData/>
  </xdr:twoCellAnchor>
  <xdr:twoCellAnchor editAs="oneCell">
    <xdr:from>
      <xdr:col>7</xdr:col>
      <xdr:colOff>313763</xdr:colOff>
      <xdr:row>439</xdr:row>
      <xdr:rowOff>1936</xdr:rowOff>
    </xdr:from>
    <xdr:to>
      <xdr:col>9</xdr:col>
      <xdr:colOff>762000</xdr:colOff>
      <xdr:row>446</xdr:row>
      <xdr:rowOff>100852</xdr:rowOff>
    </xdr:to>
    <xdr:pic>
      <xdr:nvPicPr>
        <xdr:cNvPr id="114" name="Imagen 113">
          <a:extLst>
            <a:ext uri="{FF2B5EF4-FFF2-40B4-BE49-F238E27FC236}">
              <a16:creationId xmlns:a16="http://schemas.microsoft.com/office/drawing/2014/main" id="{91A9F145-5606-4991-93AC-E77DAA518F3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rot="10800000" flipH="1">
          <a:off x="6252881" y="100429054"/>
          <a:ext cx="1848972" cy="16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109623</xdr:colOff>
      <xdr:row>411</xdr:row>
      <xdr:rowOff>99878</xdr:rowOff>
    </xdr:from>
    <xdr:to>
      <xdr:col>3</xdr:col>
      <xdr:colOff>250428</xdr:colOff>
      <xdr:row>412</xdr:row>
      <xdr:rowOff>91596</xdr:rowOff>
    </xdr:to>
    <xdr:sp macro="" textlink="">
      <xdr:nvSpPr>
        <xdr:cNvPr id="57" name="Rectángulo 56">
          <a:extLst>
            <a:ext uri="{FF2B5EF4-FFF2-40B4-BE49-F238E27FC236}">
              <a16:creationId xmlns:a16="http://schemas.microsoft.com/office/drawing/2014/main" id="{5EE5C87A-4F12-4EFD-B9C2-D950A6DBA530}"/>
            </a:ext>
          </a:extLst>
        </xdr:cNvPr>
        <xdr:cNvSpPr/>
      </xdr:nvSpPr>
      <xdr:spPr>
        <a:xfrm>
          <a:off x="109623" y="128720996"/>
          <a:ext cx="2830217" cy="21583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284042</xdr:colOff>
      <xdr:row>409</xdr:row>
      <xdr:rowOff>104749</xdr:rowOff>
    </xdr:from>
    <xdr:to>
      <xdr:col>7</xdr:col>
      <xdr:colOff>234607</xdr:colOff>
      <xdr:row>415</xdr:row>
      <xdr:rowOff>0</xdr:rowOff>
    </xdr:to>
    <xdr:pic>
      <xdr:nvPicPr>
        <xdr:cNvPr id="122" name="Imagen 121">
          <a:extLst>
            <a:ext uri="{FF2B5EF4-FFF2-40B4-BE49-F238E27FC236}">
              <a16:creationId xmlns:a16="http://schemas.microsoft.com/office/drawing/2014/main" id="{86AED281-B565-40F8-87F0-50776D2439EE}"/>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b="50708"/>
        <a:stretch/>
      </xdr:blipFill>
      <xdr:spPr bwMode="auto">
        <a:xfrm>
          <a:off x="2973454" y="128277631"/>
          <a:ext cx="2763241" cy="1239957"/>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326335</xdr:colOff>
      <xdr:row>413</xdr:row>
      <xdr:rowOff>87113</xdr:rowOff>
    </xdr:from>
    <xdr:to>
      <xdr:col>7</xdr:col>
      <xdr:colOff>367748</xdr:colOff>
      <xdr:row>414</xdr:row>
      <xdr:rowOff>78831</xdr:rowOff>
    </xdr:to>
    <xdr:sp macro="" textlink="">
      <xdr:nvSpPr>
        <xdr:cNvPr id="123" name="Rectángulo 122">
          <a:extLst>
            <a:ext uri="{FF2B5EF4-FFF2-40B4-BE49-F238E27FC236}">
              <a16:creationId xmlns:a16="http://schemas.microsoft.com/office/drawing/2014/main" id="{565F602F-34DD-4C03-83F9-FCFD4F82B33C}"/>
            </a:ext>
          </a:extLst>
        </xdr:cNvPr>
        <xdr:cNvSpPr/>
      </xdr:nvSpPr>
      <xdr:spPr>
        <a:xfrm>
          <a:off x="3015747" y="129156466"/>
          <a:ext cx="2854089" cy="21583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60881</xdr:colOff>
      <xdr:row>410</xdr:row>
      <xdr:rowOff>20465</xdr:rowOff>
    </xdr:from>
    <xdr:to>
      <xdr:col>5</xdr:col>
      <xdr:colOff>381681</xdr:colOff>
      <xdr:row>415</xdr:row>
      <xdr:rowOff>45314</xdr:rowOff>
    </xdr:to>
    <xdr:sp macro="" textlink="">
      <xdr:nvSpPr>
        <xdr:cNvPr id="124" name="Rectángulo 123">
          <a:extLst>
            <a:ext uri="{FF2B5EF4-FFF2-40B4-BE49-F238E27FC236}">
              <a16:creationId xmlns:a16="http://schemas.microsoft.com/office/drawing/2014/main" id="{8E249ED4-BABD-426B-B936-E968696E7157}"/>
            </a:ext>
          </a:extLst>
        </xdr:cNvPr>
        <xdr:cNvSpPr/>
      </xdr:nvSpPr>
      <xdr:spPr>
        <a:xfrm rot="5400000">
          <a:off x="4483676" y="90596210"/>
          <a:ext cx="1091649" cy="3208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2</xdr:col>
      <xdr:colOff>1008044</xdr:colOff>
      <xdr:row>345</xdr:row>
      <xdr:rowOff>124238</xdr:rowOff>
    </xdr:from>
    <xdr:to>
      <xdr:col>4</xdr:col>
      <xdr:colOff>155860</xdr:colOff>
      <xdr:row>353</xdr:row>
      <xdr:rowOff>108916</xdr:rowOff>
    </xdr:to>
    <xdr:pic>
      <xdr:nvPicPr>
        <xdr:cNvPr id="125" name="Imagen 124">
          <a:extLst>
            <a:ext uri="{FF2B5EF4-FFF2-40B4-BE49-F238E27FC236}">
              <a16:creationId xmlns:a16="http://schemas.microsoft.com/office/drawing/2014/main" id="{6CD5B335-C7AE-4469-BC03-AA3C508A255E}"/>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092338" y="85838032"/>
          <a:ext cx="1052816" cy="1777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107675</xdr:colOff>
      <xdr:row>404</xdr:row>
      <xdr:rowOff>157369</xdr:rowOff>
    </xdr:from>
    <xdr:to>
      <xdr:col>15</xdr:col>
      <xdr:colOff>688431</xdr:colOff>
      <xdr:row>413</xdr:row>
      <xdr:rowOff>1084</xdr:rowOff>
    </xdr:to>
    <xdr:pic>
      <xdr:nvPicPr>
        <xdr:cNvPr id="59" name="Imagen 58">
          <a:extLst>
            <a:ext uri="{FF2B5EF4-FFF2-40B4-BE49-F238E27FC236}">
              <a16:creationId xmlns:a16="http://schemas.microsoft.com/office/drawing/2014/main" id="{6C1E6A64-FC3F-4A93-B43D-EAE093D19495}"/>
            </a:ext>
          </a:extLst>
        </xdr:cNvPr>
        <xdr:cNvPicPr>
          <a:picLocks noChangeAspect="1"/>
        </xdr:cNvPicPr>
      </xdr:nvPicPr>
      <xdr:blipFill>
        <a:blip xmlns:r="http://schemas.openxmlformats.org/officeDocument/2006/relationships" r:embed="rId38"/>
        <a:stretch>
          <a:fillRect/>
        </a:stretch>
      </xdr:blipFill>
      <xdr:spPr>
        <a:xfrm>
          <a:off x="9756914" y="120056412"/>
          <a:ext cx="3296478" cy="1777513"/>
        </a:xfrm>
        <a:prstGeom prst="rect">
          <a:avLst/>
        </a:prstGeom>
      </xdr:spPr>
    </xdr:pic>
    <xdr:clientData/>
  </xdr:twoCellAnchor>
  <xdr:twoCellAnchor editAs="oneCell">
    <xdr:from>
      <xdr:col>13</xdr:col>
      <xdr:colOff>165653</xdr:colOff>
      <xdr:row>270</xdr:row>
      <xdr:rowOff>165651</xdr:rowOff>
    </xdr:from>
    <xdr:to>
      <xdr:col>16</xdr:col>
      <xdr:colOff>569790</xdr:colOff>
      <xdr:row>283</xdr:row>
      <xdr:rowOff>24849</xdr:rowOff>
    </xdr:to>
    <xdr:pic>
      <xdr:nvPicPr>
        <xdr:cNvPr id="60" name="Imagen 59">
          <a:extLst>
            <a:ext uri="{FF2B5EF4-FFF2-40B4-BE49-F238E27FC236}">
              <a16:creationId xmlns:a16="http://schemas.microsoft.com/office/drawing/2014/main" id="{659B4AAE-84DE-4063-9E05-0AAA68885A14}"/>
            </a:ext>
          </a:extLst>
        </xdr:cNvPr>
        <xdr:cNvPicPr>
          <a:picLocks noChangeAspect="1"/>
        </xdr:cNvPicPr>
      </xdr:nvPicPr>
      <xdr:blipFill>
        <a:blip xmlns:r="http://schemas.openxmlformats.org/officeDocument/2006/relationships" r:embed="rId39"/>
        <a:stretch>
          <a:fillRect/>
        </a:stretch>
      </xdr:blipFill>
      <xdr:spPr>
        <a:xfrm>
          <a:off x="9814892" y="71445781"/>
          <a:ext cx="3978328" cy="2658719"/>
        </a:xfrm>
        <a:prstGeom prst="rect">
          <a:avLst/>
        </a:prstGeom>
      </xdr:spPr>
    </xdr:pic>
    <xdr:clientData/>
  </xdr:twoCellAnchor>
  <xdr:twoCellAnchor editAs="oneCell">
    <xdr:from>
      <xdr:col>14</xdr:col>
      <xdr:colOff>346896</xdr:colOff>
      <xdr:row>445</xdr:row>
      <xdr:rowOff>81366</xdr:rowOff>
    </xdr:from>
    <xdr:to>
      <xdr:col>19</xdr:col>
      <xdr:colOff>37514</xdr:colOff>
      <xdr:row>455</xdr:row>
      <xdr:rowOff>175734</xdr:rowOff>
    </xdr:to>
    <xdr:pic>
      <xdr:nvPicPr>
        <xdr:cNvPr id="62" name="Imagen 61">
          <a:extLst>
            <a:ext uri="{FF2B5EF4-FFF2-40B4-BE49-F238E27FC236}">
              <a16:creationId xmlns:a16="http://schemas.microsoft.com/office/drawing/2014/main" id="{9F431A9C-C1D5-4FC8-B14B-EAA81A118FBA}"/>
            </a:ext>
          </a:extLst>
        </xdr:cNvPr>
        <xdr:cNvPicPr>
          <a:picLocks noChangeAspect="1"/>
        </xdr:cNvPicPr>
      </xdr:nvPicPr>
      <xdr:blipFill>
        <a:blip xmlns:r="http://schemas.openxmlformats.org/officeDocument/2006/relationships" r:embed="rId40"/>
        <a:stretch>
          <a:fillRect/>
        </a:stretch>
      </xdr:blipFill>
      <xdr:spPr>
        <a:xfrm>
          <a:off x="11194190" y="102077307"/>
          <a:ext cx="4105736" cy="2335545"/>
        </a:xfrm>
        <a:prstGeom prst="rect">
          <a:avLst/>
        </a:prstGeom>
      </xdr:spPr>
    </xdr:pic>
    <xdr:clientData/>
  </xdr:twoCellAnchor>
  <xdr:twoCellAnchor editAs="oneCell">
    <xdr:from>
      <xdr:col>1</xdr:col>
      <xdr:colOff>481854</xdr:colOff>
      <xdr:row>399</xdr:row>
      <xdr:rowOff>35298</xdr:rowOff>
    </xdr:from>
    <xdr:to>
      <xdr:col>9</xdr:col>
      <xdr:colOff>773206</xdr:colOff>
      <xdr:row>406</xdr:row>
      <xdr:rowOff>201706</xdr:rowOff>
    </xdr:to>
    <xdr:pic>
      <xdr:nvPicPr>
        <xdr:cNvPr id="63" name="Imagen 62">
          <a:extLst>
            <a:ext uri="{FF2B5EF4-FFF2-40B4-BE49-F238E27FC236}">
              <a16:creationId xmlns:a16="http://schemas.microsoft.com/office/drawing/2014/main" id="{3894B8FC-7C38-437E-9790-D6C6AFA01B0F}"/>
            </a:ext>
          </a:extLst>
        </xdr:cNvPr>
        <xdr:cNvPicPr>
          <a:picLocks noChangeAspect="1"/>
        </xdr:cNvPicPr>
      </xdr:nvPicPr>
      <xdr:blipFill>
        <a:blip xmlns:r="http://schemas.openxmlformats.org/officeDocument/2006/relationships" r:embed="rId41"/>
        <a:stretch>
          <a:fillRect/>
        </a:stretch>
      </xdr:blipFill>
      <xdr:spPr>
        <a:xfrm>
          <a:off x="1524001" y="91721827"/>
          <a:ext cx="6589058" cy="1735232"/>
        </a:xfrm>
        <a:prstGeom prst="rect">
          <a:avLst/>
        </a:prstGeom>
      </xdr:spPr>
    </xdr:pic>
    <xdr:clientData/>
  </xdr:twoCellAnchor>
  <xdr:twoCellAnchor editAs="oneCell">
    <xdr:from>
      <xdr:col>17</xdr:col>
      <xdr:colOff>75517</xdr:colOff>
      <xdr:row>434</xdr:row>
      <xdr:rowOff>112057</xdr:rowOff>
    </xdr:from>
    <xdr:to>
      <xdr:col>22</xdr:col>
      <xdr:colOff>257735</xdr:colOff>
      <xdr:row>438</xdr:row>
      <xdr:rowOff>156881</xdr:rowOff>
    </xdr:to>
    <xdr:pic>
      <xdr:nvPicPr>
        <xdr:cNvPr id="129" name="Imagen 128">
          <a:extLst>
            <a:ext uri="{FF2B5EF4-FFF2-40B4-BE49-F238E27FC236}">
              <a16:creationId xmlns:a16="http://schemas.microsoft.com/office/drawing/2014/main" id="{ABFDBC22-CB18-404B-955E-67C42BACB9D8}"/>
            </a:ext>
          </a:extLst>
        </xdr:cNvPr>
        <xdr:cNvPicPr>
          <a:picLocks noChangeAspect="1"/>
        </xdr:cNvPicPr>
      </xdr:nvPicPr>
      <xdr:blipFill rotWithShape="1">
        <a:blip xmlns:r="http://schemas.openxmlformats.org/officeDocument/2006/relationships" r:embed="rId42"/>
        <a:srcRect b="31835"/>
        <a:stretch/>
      </xdr:blipFill>
      <xdr:spPr>
        <a:xfrm>
          <a:off x="12883841" y="133215528"/>
          <a:ext cx="4608541" cy="941295"/>
        </a:xfrm>
        <a:prstGeom prst="rect">
          <a:avLst/>
        </a:prstGeom>
      </xdr:spPr>
    </xdr:pic>
    <xdr:clientData/>
  </xdr:twoCellAnchor>
  <xdr:twoCellAnchor editAs="oneCell">
    <xdr:from>
      <xdr:col>17</xdr:col>
      <xdr:colOff>297689</xdr:colOff>
      <xdr:row>400</xdr:row>
      <xdr:rowOff>8283</xdr:rowOff>
    </xdr:from>
    <xdr:to>
      <xdr:col>22</xdr:col>
      <xdr:colOff>179810</xdr:colOff>
      <xdr:row>421</xdr:row>
      <xdr:rowOff>83314</xdr:rowOff>
    </xdr:to>
    <xdr:pic>
      <xdr:nvPicPr>
        <xdr:cNvPr id="73" name="Imagen 72">
          <a:extLst>
            <a:ext uri="{FF2B5EF4-FFF2-40B4-BE49-F238E27FC236}">
              <a16:creationId xmlns:a16="http://schemas.microsoft.com/office/drawing/2014/main" id="{69F440FF-4E14-44C4-9615-E9A27CE00CB0}"/>
            </a:ext>
          </a:extLst>
        </xdr:cNvPr>
        <xdr:cNvPicPr>
          <a:picLocks noChangeAspect="1"/>
        </xdr:cNvPicPr>
      </xdr:nvPicPr>
      <xdr:blipFill>
        <a:blip xmlns:r="http://schemas.openxmlformats.org/officeDocument/2006/relationships" r:embed="rId43"/>
        <a:stretch>
          <a:fillRect/>
        </a:stretch>
      </xdr:blipFill>
      <xdr:spPr>
        <a:xfrm>
          <a:off x="13106013" y="125267636"/>
          <a:ext cx="4308444" cy="4781502"/>
        </a:xfrm>
        <a:prstGeom prst="rect">
          <a:avLst/>
        </a:prstGeom>
      </xdr:spPr>
    </xdr:pic>
    <xdr:clientData/>
  </xdr:twoCellAnchor>
  <xdr:twoCellAnchor editAs="oneCell">
    <xdr:from>
      <xdr:col>0</xdr:col>
      <xdr:colOff>149085</xdr:colOff>
      <xdr:row>434</xdr:row>
      <xdr:rowOff>43362</xdr:rowOff>
    </xdr:from>
    <xdr:to>
      <xdr:col>5</xdr:col>
      <xdr:colOff>324969</xdr:colOff>
      <xdr:row>446</xdr:row>
      <xdr:rowOff>112059</xdr:rowOff>
    </xdr:to>
    <xdr:pic>
      <xdr:nvPicPr>
        <xdr:cNvPr id="75" name="Imagen 74">
          <a:extLst>
            <a:ext uri="{FF2B5EF4-FFF2-40B4-BE49-F238E27FC236}">
              <a16:creationId xmlns:a16="http://schemas.microsoft.com/office/drawing/2014/main" id="{EE940257-D473-433D-95AF-478D4781561D}"/>
            </a:ext>
          </a:extLst>
        </xdr:cNvPr>
        <xdr:cNvPicPr>
          <a:picLocks noChangeAspect="1"/>
        </xdr:cNvPicPr>
      </xdr:nvPicPr>
      <xdr:blipFill>
        <a:blip xmlns:r="http://schemas.openxmlformats.org/officeDocument/2006/relationships" r:embed="rId44"/>
        <a:stretch>
          <a:fillRect/>
        </a:stretch>
      </xdr:blipFill>
      <xdr:spPr>
        <a:xfrm>
          <a:off x="149085" y="99349891"/>
          <a:ext cx="4859943" cy="2758109"/>
        </a:xfrm>
        <a:prstGeom prst="rect">
          <a:avLst/>
        </a:prstGeom>
      </xdr:spPr>
    </xdr:pic>
    <xdr:clientData/>
  </xdr:twoCellAnchor>
  <xdr:twoCellAnchor editAs="oneCell">
    <xdr:from>
      <xdr:col>9</xdr:col>
      <xdr:colOff>493056</xdr:colOff>
      <xdr:row>243</xdr:row>
      <xdr:rowOff>212912</xdr:rowOff>
    </xdr:from>
    <xdr:to>
      <xdr:col>11</xdr:col>
      <xdr:colOff>537881</xdr:colOff>
      <xdr:row>253</xdr:row>
      <xdr:rowOff>2629</xdr:rowOff>
    </xdr:to>
    <xdr:pic>
      <xdr:nvPicPr>
        <xdr:cNvPr id="135" name="Imagen 134">
          <a:extLst>
            <a:ext uri="{FF2B5EF4-FFF2-40B4-BE49-F238E27FC236}">
              <a16:creationId xmlns:a16="http://schemas.microsoft.com/office/drawing/2014/main" id="{C3C7CF2C-1788-4918-9E35-0CBFF6D75932}"/>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395880" y="68680853"/>
          <a:ext cx="1557619" cy="2026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302560</xdr:colOff>
      <xdr:row>373</xdr:row>
      <xdr:rowOff>134471</xdr:rowOff>
    </xdr:from>
    <xdr:to>
      <xdr:col>18</xdr:col>
      <xdr:colOff>528719</xdr:colOff>
      <xdr:row>394</xdr:row>
      <xdr:rowOff>201706</xdr:rowOff>
    </xdr:to>
    <xdr:pic>
      <xdr:nvPicPr>
        <xdr:cNvPr id="9" name="Imagen 8">
          <a:extLst>
            <a:ext uri="{FF2B5EF4-FFF2-40B4-BE49-F238E27FC236}">
              <a16:creationId xmlns:a16="http://schemas.microsoft.com/office/drawing/2014/main" id="{F39AAE8A-D3A3-4C3C-9AC9-FAC316F3CE15}"/>
            </a:ext>
          </a:extLst>
        </xdr:cNvPr>
        <xdr:cNvPicPr>
          <a:picLocks noChangeAspect="1"/>
        </xdr:cNvPicPr>
      </xdr:nvPicPr>
      <xdr:blipFill>
        <a:blip xmlns:r="http://schemas.openxmlformats.org/officeDocument/2006/relationships" r:embed="rId46"/>
        <a:stretch>
          <a:fillRect/>
        </a:stretch>
      </xdr:blipFill>
      <xdr:spPr>
        <a:xfrm>
          <a:off x="10287001" y="92258030"/>
          <a:ext cx="5414483" cy="4728882"/>
        </a:xfrm>
        <a:prstGeom prst="rect">
          <a:avLst/>
        </a:prstGeom>
      </xdr:spPr>
    </xdr:pic>
    <xdr:clientData/>
  </xdr:twoCellAnchor>
  <xdr:twoCellAnchor editAs="oneCell">
    <xdr:from>
      <xdr:col>19</xdr:col>
      <xdr:colOff>930088</xdr:colOff>
      <xdr:row>376</xdr:row>
      <xdr:rowOff>56029</xdr:rowOff>
    </xdr:from>
    <xdr:to>
      <xdr:col>25</xdr:col>
      <xdr:colOff>599575</xdr:colOff>
      <xdr:row>389</xdr:row>
      <xdr:rowOff>100855</xdr:rowOff>
    </xdr:to>
    <xdr:pic>
      <xdr:nvPicPr>
        <xdr:cNvPr id="11" name="Imagen 10">
          <a:extLst>
            <a:ext uri="{FF2B5EF4-FFF2-40B4-BE49-F238E27FC236}">
              <a16:creationId xmlns:a16="http://schemas.microsoft.com/office/drawing/2014/main" id="{D209706E-2307-4E58-98F7-96702A8198CC}"/>
            </a:ext>
          </a:extLst>
        </xdr:cNvPr>
        <xdr:cNvPicPr>
          <a:picLocks noChangeAspect="1"/>
        </xdr:cNvPicPr>
      </xdr:nvPicPr>
      <xdr:blipFill>
        <a:blip xmlns:r="http://schemas.openxmlformats.org/officeDocument/2006/relationships" r:embed="rId47"/>
        <a:stretch>
          <a:fillRect/>
        </a:stretch>
      </xdr:blipFill>
      <xdr:spPr>
        <a:xfrm>
          <a:off x="15542559" y="118815970"/>
          <a:ext cx="4577663" cy="2958354"/>
        </a:xfrm>
        <a:prstGeom prst="rect">
          <a:avLst/>
        </a:prstGeom>
      </xdr:spPr>
    </xdr:pic>
    <xdr:clientData/>
  </xdr:twoCellAnchor>
  <xdr:twoCellAnchor editAs="oneCell">
    <xdr:from>
      <xdr:col>19</xdr:col>
      <xdr:colOff>448237</xdr:colOff>
      <xdr:row>381</xdr:row>
      <xdr:rowOff>134470</xdr:rowOff>
    </xdr:from>
    <xdr:to>
      <xdr:col>25</xdr:col>
      <xdr:colOff>1</xdr:colOff>
      <xdr:row>394</xdr:row>
      <xdr:rowOff>138385</xdr:rowOff>
    </xdr:to>
    <xdr:pic>
      <xdr:nvPicPr>
        <xdr:cNvPr id="37" name="Imagen 36">
          <a:extLst>
            <a:ext uri="{FF2B5EF4-FFF2-40B4-BE49-F238E27FC236}">
              <a16:creationId xmlns:a16="http://schemas.microsoft.com/office/drawing/2014/main" id="{D57D1DEB-89C7-457A-9E94-91F1AD3B6A8C}"/>
            </a:ext>
          </a:extLst>
        </xdr:cNvPr>
        <xdr:cNvPicPr>
          <a:picLocks noChangeAspect="1"/>
        </xdr:cNvPicPr>
      </xdr:nvPicPr>
      <xdr:blipFill>
        <a:blip xmlns:r="http://schemas.openxmlformats.org/officeDocument/2006/relationships" r:embed="rId48"/>
        <a:stretch>
          <a:fillRect/>
        </a:stretch>
      </xdr:blipFill>
      <xdr:spPr>
        <a:xfrm>
          <a:off x="16013208" y="87786882"/>
          <a:ext cx="4459940" cy="2917443"/>
        </a:xfrm>
        <a:prstGeom prst="rect">
          <a:avLst/>
        </a:prstGeom>
      </xdr:spPr>
    </xdr:pic>
    <xdr:clientData/>
  </xdr:twoCellAnchor>
  <xdr:twoCellAnchor editAs="oneCell">
    <xdr:from>
      <xdr:col>0</xdr:col>
      <xdr:colOff>593913</xdr:colOff>
      <xdr:row>82</xdr:row>
      <xdr:rowOff>91326</xdr:rowOff>
    </xdr:from>
    <xdr:to>
      <xdr:col>3</xdr:col>
      <xdr:colOff>869267</xdr:colOff>
      <xdr:row>93</xdr:row>
      <xdr:rowOff>145677</xdr:rowOff>
    </xdr:to>
    <xdr:pic>
      <xdr:nvPicPr>
        <xdr:cNvPr id="44" name="Imagen 43">
          <a:extLst>
            <a:ext uri="{FF2B5EF4-FFF2-40B4-BE49-F238E27FC236}">
              <a16:creationId xmlns:a16="http://schemas.microsoft.com/office/drawing/2014/main" id="{19891362-2E76-4451-8140-1BE1499454E1}"/>
            </a:ext>
          </a:extLst>
        </xdr:cNvPr>
        <xdr:cNvPicPr>
          <a:picLocks noChangeAspect="1"/>
        </xdr:cNvPicPr>
      </xdr:nvPicPr>
      <xdr:blipFill>
        <a:blip xmlns:r="http://schemas.openxmlformats.org/officeDocument/2006/relationships" r:embed="rId49"/>
        <a:stretch>
          <a:fillRect/>
        </a:stretch>
      </xdr:blipFill>
      <xdr:spPr>
        <a:xfrm>
          <a:off x="593913" y="21035120"/>
          <a:ext cx="3368178" cy="2519645"/>
        </a:xfrm>
        <a:prstGeom prst="rect">
          <a:avLst/>
        </a:prstGeom>
      </xdr:spPr>
    </xdr:pic>
    <xdr:clientData/>
  </xdr:twoCellAnchor>
  <xdr:oneCellAnchor>
    <xdr:from>
      <xdr:col>1</xdr:col>
      <xdr:colOff>305772</xdr:colOff>
      <xdr:row>306</xdr:row>
      <xdr:rowOff>100849</xdr:rowOff>
    </xdr:from>
    <xdr:ext cx="1419933" cy="1467971"/>
    <xdr:pic>
      <xdr:nvPicPr>
        <xdr:cNvPr id="116" name="Imagen 115">
          <a:extLst>
            <a:ext uri="{FF2B5EF4-FFF2-40B4-BE49-F238E27FC236}">
              <a16:creationId xmlns:a16="http://schemas.microsoft.com/office/drawing/2014/main" id="{ECD86314-4C3B-48AE-9886-BA5FBC43C6D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rot="10800000">
          <a:off x="1022948" y="82239967"/>
          <a:ext cx="1419933" cy="14679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48741</xdr:colOff>
      <xdr:row>1094</xdr:row>
      <xdr:rowOff>178733</xdr:rowOff>
    </xdr:from>
    <xdr:to>
      <xdr:col>5</xdr:col>
      <xdr:colOff>302557</xdr:colOff>
      <xdr:row>1096</xdr:row>
      <xdr:rowOff>88349</xdr:rowOff>
    </xdr:to>
    <xdr:pic>
      <xdr:nvPicPr>
        <xdr:cNvPr id="134" name="Picture 1220">
          <a:extLst>
            <a:ext uri="{FF2B5EF4-FFF2-40B4-BE49-F238E27FC236}">
              <a16:creationId xmlns:a16="http://schemas.microsoft.com/office/drawing/2014/main" id="{07477B36-55F1-48ED-8C17-16B37E04265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133035" y="251818027"/>
          <a:ext cx="2853581" cy="357851"/>
        </a:xfrm>
        <a:prstGeom prst="rect">
          <a:avLst/>
        </a:prstGeom>
        <a:noFill/>
      </xdr:spPr>
    </xdr:pic>
    <xdr:clientData/>
  </xdr:twoCellAnchor>
  <xdr:twoCellAnchor>
    <xdr:from>
      <xdr:col>40</xdr:col>
      <xdr:colOff>318494</xdr:colOff>
      <xdr:row>1123</xdr:row>
      <xdr:rowOff>126163</xdr:rowOff>
    </xdr:from>
    <xdr:to>
      <xdr:col>43</xdr:col>
      <xdr:colOff>182768</xdr:colOff>
      <xdr:row>1127</xdr:row>
      <xdr:rowOff>0</xdr:rowOff>
    </xdr:to>
    <xdr:pic>
      <xdr:nvPicPr>
        <xdr:cNvPr id="136" name="Picture 1272">
          <a:extLst>
            <a:ext uri="{FF2B5EF4-FFF2-40B4-BE49-F238E27FC236}">
              <a16:creationId xmlns:a16="http://schemas.microsoft.com/office/drawing/2014/main" id="{1F5DAD99-E9E7-4B1B-BB41-19FB8DD77507}"/>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21641" y="231281104"/>
          <a:ext cx="2150274" cy="770308"/>
        </a:xfrm>
        <a:prstGeom prst="rect">
          <a:avLst/>
        </a:prstGeom>
        <a:noFill/>
      </xdr:spPr>
    </xdr:pic>
    <xdr:clientData/>
  </xdr:twoCellAnchor>
  <xdr:twoCellAnchor editAs="oneCell">
    <xdr:from>
      <xdr:col>18</xdr:col>
      <xdr:colOff>347386</xdr:colOff>
      <xdr:row>985</xdr:row>
      <xdr:rowOff>67239</xdr:rowOff>
    </xdr:from>
    <xdr:to>
      <xdr:col>23</xdr:col>
      <xdr:colOff>493061</xdr:colOff>
      <xdr:row>996</xdr:row>
      <xdr:rowOff>172724</xdr:rowOff>
    </xdr:to>
    <xdr:pic>
      <xdr:nvPicPr>
        <xdr:cNvPr id="146" name="Imagen 145">
          <a:extLst>
            <a:ext uri="{FF2B5EF4-FFF2-40B4-BE49-F238E27FC236}">
              <a16:creationId xmlns:a16="http://schemas.microsoft.com/office/drawing/2014/main" id="{408C06FD-1AB5-4164-ADAF-12E7DA1F0678}"/>
            </a:ext>
          </a:extLst>
        </xdr:cNvPr>
        <xdr:cNvPicPr>
          <a:picLocks noChangeAspect="1"/>
        </xdr:cNvPicPr>
      </xdr:nvPicPr>
      <xdr:blipFill>
        <a:blip xmlns:r="http://schemas.openxmlformats.org/officeDocument/2006/relationships" r:embed="rId50"/>
        <a:stretch>
          <a:fillRect/>
        </a:stretch>
      </xdr:blipFill>
      <xdr:spPr>
        <a:xfrm>
          <a:off x="14971062" y="217394121"/>
          <a:ext cx="4471145" cy="2122542"/>
        </a:xfrm>
        <a:prstGeom prst="rect">
          <a:avLst/>
        </a:prstGeom>
      </xdr:spPr>
    </xdr:pic>
    <xdr:clientData/>
  </xdr:twoCellAnchor>
  <xdr:twoCellAnchor editAs="oneCell">
    <xdr:from>
      <xdr:col>0</xdr:col>
      <xdr:colOff>324968</xdr:colOff>
      <xdr:row>987</xdr:row>
      <xdr:rowOff>112060</xdr:rowOff>
    </xdr:from>
    <xdr:to>
      <xdr:col>4</xdr:col>
      <xdr:colOff>201039</xdr:colOff>
      <xdr:row>997</xdr:row>
      <xdr:rowOff>168089</xdr:rowOff>
    </xdr:to>
    <xdr:pic>
      <xdr:nvPicPr>
        <xdr:cNvPr id="121" name="Imagen 120">
          <a:extLst>
            <a:ext uri="{FF2B5EF4-FFF2-40B4-BE49-F238E27FC236}">
              <a16:creationId xmlns:a16="http://schemas.microsoft.com/office/drawing/2014/main" id="{01547D2F-5DE1-4375-AF02-96ABB7516616}"/>
            </a:ext>
          </a:extLst>
        </xdr:cNvPr>
        <xdr:cNvPicPr>
          <a:picLocks noChangeAspect="1"/>
        </xdr:cNvPicPr>
      </xdr:nvPicPr>
      <xdr:blipFill>
        <a:blip xmlns:r="http://schemas.openxmlformats.org/officeDocument/2006/relationships" r:embed="rId51"/>
        <a:stretch>
          <a:fillRect/>
        </a:stretch>
      </xdr:blipFill>
      <xdr:spPr>
        <a:xfrm>
          <a:off x="324968" y="221876472"/>
          <a:ext cx="3865365" cy="1848971"/>
        </a:xfrm>
        <a:prstGeom prst="rect">
          <a:avLst/>
        </a:prstGeom>
      </xdr:spPr>
    </xdr:pic>
    <xdr:clientData/>
  </xdr:twoCellAnchor>
  <xdr:twoCellAnchor editAs="oneCell">
    <xdr:from>
      <xdr:col>5</xdr:col>
      <xdr:colOff>313768</xdr:colOff>
      <xdr:row>987</xdr:row>
      <xdr:rowOff>50134</xdr:rowOff>
    </xdr:from>
    <xdr:to>
      <xdr:col>12</xdr:col>
      <xdr:colOff>168090</xdr:colOff>
      <xdr:row>998</xdr:row>
      <xdr:rowOff>121589</xdr:rowOff>
    </xdr:to>
    <xdr:pic>
      <xdr:nvPicPr>
        <xdr:cNvPr id="126" name="Imagen 125">
          <a:extLst>
            <a:ext uri="{FF2B5EF4-FFF2-40B4-BE49-F238E27FC236}">
              <a16:creationId xmlns:a16="http://schemas.microsoft.com/office/drawing/2014/main" id="{99012B6D-B4AD-4DF5-9E0D-1B62A881D6B2}"/>
            </a:ext>
          </a:extLst>
        </xdr:cNvPr>
        <xdr:cNvPicPr>
          <a:picLocks noChangeAspect="1"/>
        </xdr:cNvPicPr>
      </xdr:nvPicPr>
      <xdr:blipFill>
        <a:blip xmlns:r="http://schemas.openxmlformats.org/officeDocument/2006/relationships" r:embed="rId52"/>
        <a:stretch>
          <a:fillRect/>
        </a:stretch>
      </xdr:blipFill>
      <xdr:spPr>
        <a:xfrm>
          <a:off x="4997827" y="221814546"/>
          <a:ext cx="4650439" cy="2043691"/>
        </a:xfrm>
        <a:prstGeom prst="rect">
          <a:avLst/>
        </a:prstGeom>
      </xdr:spPr>
    </xdr:pic>
    <xdr:clientData/>
  </xdr:twoCellAnchor>
  <xdr:twoCellAnchor editAs="oneCell">
    <xdr:from>
      <xdr:col>13</xdr:col>
      <xdr:colOff>179295</xdr:colOff>
      <xdr:row>985</xdr:row>
      <xdr:rowOff>134470</xdr:rowOff>
    </xdr:from>
    <xdr:to>
      <xdr:col>17</xdr:col>
      <xdr:colOff>392205</xdr:colOff>
      <xdr:row>997</xdr:row>
      <xdr:rowOff>51989</xdr:rowOff>
    </xdr:to>
    <xdr:pic>
      <xdr:nvPicPr>
        <xdr:cNvPr id="141" name="Imagen 140">
          <a:extLst>
            <a:ext uri="{FF2B5EF4-FFF2-40B4-BE49-F238E27FC236}">
              <a16:creationId xmlns:a16="http://schemas.microsoft.com/office/drawing/2014/main" id="{74C8DD2E-E91E-429C-9BD3-626A470DADD6}"/>
            </a:ext>
          </a:extLst>
        </xdr:cNvPr>
        <xdr:cNvPicPr>
          <a:picLocks noChangeAspect="1"/>
        </xdr:cNvPicPr>
      </xdr:nvPicPr>
      <xdr:blipFill>
        <a:blip xmlns:r="http://schemas.openxmlformats.org/officeDocument/2006/relationships" r:embed="rId53"/>
        <a:stretch>
          <a:fillRect/>
        </a:stretch>
      </xdr:blipFill>
      <xdr:spPr>
        <a:xfrm>
          <a:off x="10163736" y="257511176"/>
          <a:ext cx="4538381" cy="2113871"/>
        </a:xfrm>
        <a:prstGeom prst="rect">
          <a:avLst/>
        </a:prstGeom>
      </xdr:spPr>
    </xdr:pic>
    <xdr:clientData/>
  </xdr:twoCellAnchor>
  <xdr:twoCellAnchor editAs="oneCell">
    <xdr:from>
      <xdr:col>13</xdr:col>
      <xdr:colOff>212912</xdr:colOff>
      <xdr:row>997</xdr:row>
      <xdr:rowOff>123265</xdr:rowOff>
    </xdr:from>
    <xdr:to>
      <xdr:col>17</xdr:col>
      <xdr:colOff>494588</xdr:colOff>
      <xdr:row>1024</xdr:row>
      <xdr:rowOff>63874</xdr:rowOff>
    </xdr:to>
    <xdr:pic>
      <xdr:nvPicPr>
        <xdr:cNvPr id="142" name="Imagen 141">
          <a:extLst>
            <a:ext uri="{FF2B5EF4-FFF2-40B4-BE49-F238E27FC236}">
              <a16:creationId xmlns:a16="http://schemas.microsoft.com/office/drawing/2014/main" id="{663D6939-2247-4443-B91E-4AF400ED1D37}"/>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0197353" y="259696324"/>
          <a:ext cx="4607147" cy="4781550"/>
        </a:xfrm>
        <a:prstGeom prst="rect">
          <a:avLst/>
        </a:prstGeom>
      </xdr:spPr>
    </xdr:pic>
    <xdr:clientData/>
  </xdr:twoCellAnchor>
  <xdr:twoCellAnchor>
    <xdr:from>
      <xdr:col>2</xdr:col>
      <xdr:colOff>156884</xdr:colOff>
      <xdr:row>743</xdr:row>
      <xdr:rowOff>179297</xdr:rowOff>
    </xdr:from>
    <xdr:to>
      <xdr:col>6</xdr:col>
      <xdr:colOff>414619</xdr:colOff>
      <xdr:row>745</xdr:row>
      <xdr:rowOff>156882</xdr:rowOff>
    </xdr:to>
    <xdr:pic>
      <xdr:nvPicPr>
        <xdr:cNvPr id="140" name="Picture 1220">
          <a:extLst>
            <a:ext uri="{FF2B5EF4-FFF2-40B4-BE49-F238E27FC236}">
              <a16:creationId xmlns:a16="http://schemas.microsoft.com/office/drawing/2014/main" id="{7D5A7993-0465-453D-B79E-D902BB79E953}"/>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241178" y="169186415"/>
          <a:ext cx="3585882" cy="425820"/>
        </a:xfrm>
        <a:prstGeom prst="rect">
          <a:avLst/>
        </a:prstGeom>
        <a:noFill/>
      </xdr:spPr>
    </xdr:pic>
    <xdr:clientData/>
  </xdr:twoCellAnchor>
  <xdr:twoCellAnchor>
    <xdr:from>
      <xdr:col>7</xdr:col>
      <xdr:colOff>526676</xdr:colOff>
      <xdr:row>709</xdr:row>
      <xdr:rowOff>0</xdr:rowOff>
    </xdr:from>
    <xdr:to>
      <xdr:col>8</xdr:col>
      <xdr:colOff>728382</xdr:colOff>
      <xdr:row>710</xdr:row>
      <xdr:rowOff>33619</xdr:rowOff>
    </xdr:to>
    <xdr:sp macro="" textlink="">
      <xdr:nvSpPr>
        <xdr:cNvPr id="72" name="Flecha: a la derecha 71">
          <a:extLst>
            <a:ext uri="{FF2B5EF4-FFF2-40B4-BE49-F238E27FC236}">
              <a16:creationId xmlns:a16="http://schemas.microsoft.com/office/drawing/2014/main" id="{98C0B161-6731-478F-BF14-66288D9ACDBB}"/>
            </a:ext>
          </a:extLst>
        </xdr:cNvPr>
        <xdr:cNvSpPr/>
      </xdr:nvSpPr>
      <xdr:spPr>
        <a:xfrm>
          <a:off x="6465794" y="150853588"/>
          <a:ext cx="762000" cy="25773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0</xdr:colOff>
      <xdr:row>712</xdr:row>
      <xdr:rowOff>11207</xdr:rowOff>
    </xdr:from>
    <xdr:to>
      <xdr:col>8</xdr:col>
      <xdr:colOff>762000</xdr:colOff>
      <xdr:row>713</xdr:row>
      <xdr:rowOff>11206</xdr:rowOff>
    </xdr:to>
    <xdr:sp macro="" textlink="">
      <xdr:nvSpPr>
        <xdr:cNvPr id="143" name="Flecha: a la derecha 142">
          <a:extLst>
            <a:ext uri="{FF2B5EF4-FFF2-40B4-BE49-F238E27FC236}">
              <a16:creationId xmlns:a16="http://schemas.microsoft.com/office/drawing/2014/main" id="{3B0F84A8-4CB8-416C-BEA9-F688A4C2A1C2}"/>
            </a:ext>
          </a:extLst>
        </xdr:cNvPr>
        <xdr:cNvSpPr/>
      </xdr:nvSpPr>
      <xdr:spPr>
        <a:xfrm>
          <a:off x="6499412" y="157588325"/>
          <a:ext cx="762000" cy="22411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544604</xdr:colOff>
      <xdr:row>714</xdr:row>
      <xdr:rowOff>6722</xdr:rowOff>
    </xdr:from>
    <xdr:to>
      <xdr:col>8</xdr:col>
      <xdr:colOff>746310</xdr:colOff>
      <xdr:row>715</xdr:row>
      <xdr:rowOff>51547</xdr:rowOff>
    </xdr:to>
    <xdr:sp macro="" textlink="">
      <xdr:nvSpPr>
        <xdr:cNvPr id="144" name="Flecha: a la derecha 143">
          <a:extLst>
            <a:ext uri="{FF2B5EF4-FFF2-40B4-BE49-F238E27FC236}">
              <a16:creationId xmlns:a16="http://schemas.microsoft.com/office/drawing/2014/main" id="{1A969CA1-9CA5-41F7-A67A-213B9209B6E8}"/>
            </a:ext>
          </a:extLst>
        </xdr:cNvPr>
        <xdr:cNvSpPr/>
      </xdr:nvSpPr>
      <xdr:spPr>
        <a:xfrm>
          <a:off x="6483722" y="158032075"/>
          <a:ext cx="762000" cy="26894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33617</xdr:colOff>
      <xdr:row>675</xdr:row>
      <xdr:rowOff>0</xdr:rowOff>
    </xdr:from>
    <xdr:to>
      <xdr:col>8</xdr:col>
      <xdr:colOff>795617</xdr:colOff>
      <xdr:row>675</xdr:row>
      <xdr:rowOff>212912</xdr:rowOff>
    </xdr:to>
    <xdr:sp macro="" textlink="">
      <xdr:nvSpPr>
        <xdr:cNvPr id="127" name="Flecha: a la derecha 126">
          <a:extLst>
            <a:ext uri="{FF2B5EF4-FFF2-40B4-BE49-F238E27FC236}">
              <a16:creationId xmlns:a16="http://schemas.microsoft.com/office/drawing/2014/main" id="{241C5362-EC1C-47BC-854C-1E885BE2A434}"/>
            </a:ext>
          </a:extLst>
        </xdr:cNvPr>
        <xdr:cNvSpPr/>
      </xdr:nvSpPr>
      <xdr:spPr>
        <a:xfrm>
          <a:off x="6533029" y="142113000"/>
          <a:ext cx="762000" cy="21291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504266</xdr:colOff>
      <xdr:row>756</xdr:row>
      <xdr:rowOff>0</xdr:rowOff>
    </xdr:from>
    <xdr:to>
      <xdr:col>8</xdr:col>
      <xdr:colOff>179295</xdr:colOff>
      <xdr:row>757</xdr:row>
      <xdr:rowOff>33619</xdr:rowOff>
    </xdr:to>
    <xdr:sp macro="" textlink="">
      <xdr:nvSpPr>
        <xdr:cNvPr id="128" name="Flecha: a la derecha 127">
          <a:extLst>
            <a:ext uri="{FF2B5EF4-FFF2-40B4-BE49-F238E27FC236}">
              <a16:creationId xmlns:a16="http://schemas.microsoft.com/office/drawing/2014/main" id="{36BEA4D7-87AE-4488-A8D6-6FFFD2F37F92}"/>
            </a:ext>
          </a:extLst>
        </xdr:cNvPr>
        <xdr:cNvSpPr/>
      </xdr:nvSpPr>
      <xdr:spPr>
        <a:xfrm>
          <a:off x="5916707" y="160031206"/>
          <a:ext cx="762000" cy="2689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493060</xdr:colOff>
      <xdr:row>761</xdr:row>
      <xdr:rowOff>0</xdr:rowOff>
    </xdr:from>
    <xdr:to>
      <xdr:col>8</xdr:col>
      <xdr:colOff>168089</xdr:colOff>
      <xdr:row>762</xdr:row>
      <xdr:rowOff>44825</xdr:rowOff>
    </xdr:to>
    <xdr:sp macro="" textlink="">
      <xdr:nvSpPr>
        <xdr:cNvPr id="130" name="Flecha: a la derecha 129">
          <a:extLst>
            <a:ext uri="{FF2B5EF4-FFF2-40B4-BE49-F238E27FC236}">
              <a16:creationId xmlns:a16="http://schemas.microsoft.com/office/drawing/2014/main" id="{8D623E75-365D-4C36-A96F-08C0B3CA276F}"/>
            </a:ext>
          </a:extLst>
        </xdr:cNvPr>
        <xdr:cNvSpPr/>
      </xdr:nvSpPr>
      <xdr:spPr>
        <a:xfrm>
          <a:off x="5905501" y="161387118"/>
          <a:ext cx="762000" cy="2689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522194</xdr:colOff>
      <xdr:row>758</xdr:row>
      <xdr:rowOff>208430</xdr:rowOff>
    </xdr:from>
    <xdr:to>
      <xdr:col>8</xdr:col>
      <xdr:colOff>197223</xdr:colOff>
      <xdr:row>760</xdr:row>
      <xdr:rowOff>29136</xdr:rowOff>
    </xdr:to>
    <xdr:sp macro="" textlink="">
      <xdr:nvSpPr>
        <xdr:cNvPr id="131" name="Flecha: a la derecha 130">
          <a:extLst>
            <a:ext uri="{FF2B5EF4-FFF2-40B4-BE49-F238E27FC236}">
              <a16:creationId xmlns:a16="http://schemas.microsoft.com/office/drawing/2014/main" id="{0BC6A7DD-3C25-4244-B207-B0057CD749AC}"/>
            </a:ext>
          </a:extLst>
        </xdr:cNvPr>
        <xdr:cNvSpPr/>
      </xdr:nvSpPr>
      <xdr:spPr>
        <a:xfrm>
          <a:off x="5934635" y="160474959"/>
          <a:ext cx="762000" cy="26894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0</xdr:colOff>
      <xdr:row>797</xdr:row>
      <xdr:rowOff>1</xdr:rowOff>
    </xdr:from>
    <xdr:to>
      <xdr:col>1</xdr:col>
      <xdr:colOff>851646</xdr:colOff>
      <xdr:row>798</xdr:row>
      <xdr:rowOff>44827</xdr:rowOff>
    </xdr:to>
    <xdr:sp macro="" textlink="">
      <xdr:nvSpPr>
        <xdr:cNvPr id="132" name="Flecha: a la derecha 131">
          <a:extLst>
            <a:ext uri="{FF2B5EF4-FFF2-40B4-BE49-F238E27FC236}">
              <a16:creationId xmlns:a16="http://schemas.microsoft.com/office/drawing/2014/main" id="{710FBAD0-A526-4EDB-AE2A-F20FE5763C36}"/>
            </a:ext>
          </a:extLst>
        </xdr:cNvPr>
        <xdr:cNvSpPr/>
      </xdr:nvSpPr>
      <xdr:spPr>
        <a:xfrm>
          <a:off x="1042147" y="170800060"/>
          <a:ext cx="851646" cy="26894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PE" sz="1100"/>
            <a:t>C</a:t>
          </a:r>
        </a:p>
      </xdr:txBody>
    </xdr:sp>
    <xdr:clientData/>
  </xdr:twoCellAnchor>
  <xdr:twoCellAnchor>
    <xdr:from>
      <xdr:col>5</xdr:col>
      <xdr:colOff>526676</xdr:colOff>
      <xdr:row>913</xdr:row>
      <xdr:rowOff>67235</xdr:rowOff>
    </xdr:from>
    <xdr:to>
      <xdr:col>7</xdr:col>
      <xdr:colOff>78441</xdr:colOff>
      <xdr:row>914</xdr:row>
      <xdr:rowOff>27455</xdr:rowOff>
    </xdr:to>
    <xdr:sp macro="" textlink="">
      <xdr:nvSpPr>
        <xdr:cNvPr id="138" name="Flecha: a la derecha 137">
          <a:extLst>
            <a:ext uri="{FF2B5EF4-FFF2-40B4-BE49-F238E27FC236}">
              <a16:creationId xmlns:a16="http://schemas.microsoft.com/office/drawing/2014/main" id="{0D6E8F48-1564-49D9-80B7-A01801F62BD9}"/>
            </a:ext>
          </a:extLst>
        </xdr:cNvPr>
        <xdr:cNvSpPr/>
      </xdr:nvSpPr>
      <xdr:spPr>
        <a:xfrm>
          <a:off x="5210735" y="206177029"/>
          <a:ext cx="806824" cy="24036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PE" sz="1100"/>
            <a:t>C</a:t>
          </a:r>
        </a:p>
      </xdr:txBody>
    </xdr:sp>
    <xdr:clientData/>
  </xdr:twoCellAnchor>
  <xdr:twoCellAnchor editAs="oneCell">
    <xdr:from>
      <xdr:col>4</xdr:col>
      <xdr:colOff>638737</xdr:colOff>
      <xdr:row>606</xdr:row>
      <xdr:rowOff>44823</xdr:rowOff>
    </xdr:from>
    <xdr:to>
      <xdr:col>11</xdr:col>
      <xdr:colOff>212912</xdr:colOff>
      <xdr:row>619</xdr:row>
      <xdr:rowOff>112059</xdr:rowOff>
    </xdr:to>
    <xdr:pic>
      <xdr:nvPicPr>
        <xdr:cNvPr id="139" name="Imagen 138">
          <a:extLst>
            <a:ext uri="{FF2B5EF4-FFF2-40B4-BE49-F238E27FC236}">
              <a16:creationId xmlns:a16="http://schemas.microsoft.com/office/drawing/2014/main" id="{8FFDF90C-EE38-44F4-B095-25A9D52B9BA9}"/>
            </a:ext>
          </a:extLst>
        </xdr:cNvPr>
        <xdr:cNvPicPr>
          <a:picLocks noChangeAspect="1"/>
        </xdr:cNvPicPr>
      </xdr:nvPicPr>
      <xdr:blipFill>
        <a:blip xmlns:r="http://schemas.openxmlformats.org/officeDocument/2006/relationships" r:embed="rId55"/>
        <a:stretch>
          <a:fillRect/>
        </a:stretch>
      </xdr:blipFill>
      <xdr:spPr>
        <a:xfrm>
          <a:off x="4628031" y="138594352"/>
          <a:ext cx="4437528" cy="2980766"/>
        </a:xfrm>
        <a:prstGeom prst="rect">
          <a:avLst/>
        </a:prstGeom>
      </xdr:spPr>
    </xdr:pic>
    <xdr:clientData/>
  </xdr:twoCellAnchor>
  <xdr:twoCellAnchor>
    <xdr:from>
      <xdr:col>6</xdr:col>
      <xdr:colOff>470647</xdr:colOff>
      <xdr:row>1049</xdr:row>
      <xdr:rowOff>-1</xdr:rowOff>
    </xdr:from>
    <xdr:to>
      <xdr:col>8</xdr:col>
      <xdr:colOff>44823</xdr:colOff>
      <xdr:row>1050</xdr:row>
      <xdr:rowOff>0</xdr:rowOff>
    </xdr:to>
    <xdr:sp macro="" textlink="">
      <xdr:nvSpPr>
        <xdr:cNvPr id="151" name="Flecha: a la derecha 150">
          <a:extLst>
            <a:ext uri="{FF2B5EF4-FFF2-40B4-BE49-F238E27FC236}">
              <a16:creationId xmlns:a16="http://schemas.microsoft.com/office/drawing/2014/main" id="{A71945ED-D77C-4A1D-8E89-A4C4C4F83E9A}"/>
            </a:ext>
          </a:extLst>
        </xdr:cNvPr>
        <xdr:cNvSpPr/>
      </xdr:nvSpPr>
      <xdr:spPr>
        <a:xfrm>
          <a:off x="5883088" y="229115470"/>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504265</xdr:colOff>
      <xdr:row>1053</xdr:row>
      <xdr:rowOff>212912</xdr:rowOff>
    </xdr:from>
    <xdr:to>
      <xdr:col>8</xdr:col>
      <xdr:colOff>78441</xdr:colOff>
      <xdr:row>1054</xdr:row>
      <xdr:rowOff>212912</xdr:rowOff>
    </xdr:to>
    <xdr:sp macro="" textlink="">
      <xdr:nvSpPr>
        <xdr:cNvPr id="154" name="Flecha: a la derecha 153">
          <a:extLst>
            <a:ext uri="{FF2B5EF4-FFF2-40B4-BE49-F238E27FC236}">
              <a16:creationId xmlns:a16="http://schemas.microsoft.com/office/drawing/2014/main" id="{606957C2-F320-44C8-BCDE-4DCD8F2C6E63}"/>
            </a:ext>
          </a:extLst>
        </xdr:cNvPr>
        <xdr:cNvSpPr/>
      </xdr:nvSpPr>
      <xdr:spPr>
        <a:xfrm>
          <a:off x="5916706" y="230224853"/>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6</xdr:col>
      <xdr:colOff>477372</xdr:colOff>
      <xdr:row>1051</xdr:row>
      <xdr:rowOff>186018</xdr:rowOff>
    </xdr:from>
    <xdr:to>
      <xdr:col>8</xdr:col>
      <xdr:colOff>51548</xdr:colOff>
      <xdr:row>1052</xdr:row>
      <xdr:rowOff>186018</xdr:rowOff>
    </xdr:to>
    <xdr:sp macro="" textlink="">
      <xdr:nvSpPr>
        <xdr:cNvPr id="155" name="Flecha: a la derecha 154">
          <a:extLst>
            <a:ext uri="{FF2B5EF4-FFF2-40B4-BE49-F238E27FC236}">
              <a16:creationId xmlns:a16="http://schemas.microsoft.com/office/drawing/2014/main" id="{59E9833C-7EC8-4441-95F0-C6DB60C0526F}"/>
            </a:ext>
          </a:extLst>
        </xdr:cNvPr>
        <xdr:cNvSpPr/>
      </xdr:nvSpPr>
      <xdr:spPr>
        <a:xfrm>
          <a:off x="5889813" y="229749724"/>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0</xdr:colOff>
      <xdr:row>1110</xdr:row>
      <xdr:rowOff>0</xdr:rowOff>
    </xdr:from>
    <xdr:to>
      <xdr:col>8</xdr:col>
      <xdr:colOff>100853</xdr:colOff>
      <xdr:row>1111</xdr:row>
      <xdr:rowOff>0</xdr:rowOff>
    </xdr:to>
    <xdr:sp macro="" textlink="">
      <xdr:nvSpPr>
        <xdr:cNvPr id="156" name="Flecha: a la derecha 155">
          <a:extLst>
            <a:ext uri="{FF2B5EF4-FFF2-40B4-BE49-F238E27FC236}">
              <a16:creationId xmlns:a16="http://schemas.microsoft.com/office/drawing/2014/main" id="{981C2C2F-D978-40A9-989C-67FED0693E91}"/>
            </a:ext>
          </a:extLst>
        </xdr:cNvPr>
        <xdr:cNvSpPr/>
      </xdr:nvSpPr>
      <xdr:spPr>
        <a:xfrm>
          <a:off x="5939118" y="242114294"/>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33618</xdr:colOff>
      <xdr:row>1114</xdr:row>
      <xdr:rowOff>212912</xdr:rowOff>
    </xdr:from>
    <xdr:to>
      <xdr:col>8</xdr:col>
      <xdr:colOff>134471</xdr:colOff>
      <xdr:row>1115</xdr:row>
      <xdr:rowOff>212913</xdr:rowOff>
    </xdr:to>
    <xdr:sp macro="" textlink="">
      <xdr:nvSpPr>
        <xdr:cNvPr id="157" name="Flecha: a la derecha 156">
          <a:extLst>
            <a:ext uri="{FF2B5EF4-FFF2-40B4-BE49-F238E27FC236}">
              <a16:creationId xmlns:a16="http://schemas.microsoft.com/office/drawing/2014/main" id="{054BA082-4A5A-4006-B0B1-A86E20428BE9}"/>
            </a:ext>
          </a:extLst>
        </xdr:cNvPr>
        <xdr:cNvSpPr/>
      </xdr:nvSpPr>
      <xdr:spPr>
        <a:xfrm>
          <a:off x="5972736" y="243223677"/>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6725</xdr:colOff>
      <xdr:row>1112</xdr:row>
      <xdr:rowOff>186019</xdr:rowOff>
    </xdr:from>
    <xdr:to>
      <xdr:col>8</xdr:col>
      <xdr:colOff>107578</xdr:colOff>
      <xdr:row>1113</xdr:row>
      <xdr:rowOff>186019</xdr:rowOff>
    </xdr:to>
    <xdr:sp macro="" textlink="">
      <xdr:nvSpPr>
        <xdr:cNvPr id="158" name="Flecha: a la derecha 157">
          <a:extLst>
            <a:ext uri="{FF2B5EF4-FFF2-40B4-BE49-F238E27FC236}">
              <a16:creationId xmlns:a16="http://schemas.microsoft.com/office/drawing/2014/main" id="{1A5F2D1F-95F3-4391-BEE8-499BC6589264}"/>
            </a:ext>
          </a:extLst>
        </xdr:cNvPr>
        <xdr:cNvSpPr/>
      </xdr:nvSpPr>
      <xdr:spPr>
        <a:xfrm>
          <a:off x="5945843" y="242748548"/>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414618</xdr:colOff>
      <xdr:row>689</xdr:row>
      <xdr:rowOff>0</xdr:rowOff>
    </xdr:from>
    <xdr:to>
      <xdr:col>4</xdr:col>
      <xdr:colOff>280148</xdr:colOff>
      <xdr:row>690</xdr:row>
      <xdr:rowOff>33619</xdr:rowOff>
    </xdr:to>
    <xdr:sp macro="" textlink="">
      <xdr:nvSpPr>
        <xdr:cNvPr id="166" name="Flecha: a la derecha 165">
          <a:extLst>
            <a:ext uri="{FF2B5EF4-FFF2-40B4-BE49-F238E27FC236}">
              <a16:creationId xmlns:a16="http://schemas.microsoft.com/office/drawing/2014/main" id="{E0D55587-6E01-4ECB-B704-499ACC5763B3}"/>
            </a:ext>
          </a:extLst>
        </xdr:cNvPr>
        <xdr:cNvSpPr/>
      </xdr:nvSpPr>
      <xdr:spPr>
        <a:xfrm>
          <a:off x="3507442" y="152198294"/>
          <a:ext cx="762000" cy="25773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44825</xdr:colOff>
      <xdr:row>1160</xdr:row>
      <xdr:rowOff>89647</xdr:rowOff>
    </xdr:from>
    <xdr:to>
      <xdr:col>5</xdr:col>
      <xdr:colOff>705970</xdr:colOff>
      <xdr:row>1170</xdr:row>
      <xdr:rowOff>139881</xdr:rowOff>
    </xdr:to>
    <xdr:pic>
      <xdr:nvPicPr>
        <xdr:cNvPr id="64" name="Imagen 63">
          <a:extLst>
            <a:ext uri="{FF2B5EF4-FFF2-40B4-BE49-F238E27FC236}">
              <a16:creationId xmlns:a16="http://schemas.microsoft.com/office/drawing/2014/main" id="{DDCEF40A-61E1-407D-A73E-5A10C95FD9C2}"/>
            </a:ext>
          </a:extLst>
        </xdr:cNvPr>
        <xdr:cNvPicPr>
          <a:picLocks noChangeAspect="1"/>
        </xdr:cNvPicPr>
      </xdr:nvPicPr>
      <xdr:blipFill>
        <a:blip xmlns:r="http://schemas.openxmlformats.org/officeDocument/2006/relationships" r:embed="rId56"/>
        <a:stretch>
          <a:fillRect/>
        </a:stretch>
      </xdr:blipFill>
      <xdr:spPr>
        <a:xfrm>
          <a:off x="44825" y="266162118"/>
          <a:ext cx="5345204" cy="1843174"/>
        </a:xfrm>
        <a:prstGeom prst="rect">
          <a:avLst/>
        </a:prstGeom>
      </xdr:spPr>
    </xdr:pic>
    <xdr:clientData/>
  </xdr:twoCellAnchor>
  <xdr:twoCellAnchor editAs="oneCell">
    <xdr:from>
      <xdr:col>6</xdr:col>
      <xdr:colOff>134470</xdr:colOff>
      <xdr:row>1160</xdr:row>
      <xdr:rowOff>33618</xdr:rowOff>
    </xdr:from>
    <xdr:to>
      <xdr:col>12</xdr:col>
      <xdr:colOff>233464</xdr:colOff>
      <xdr:row>1176</xdr:row>
      <xdr:rowOff>70915</xdr:rowOff>
    </xdr:to>
    <xdr:pic>
      <xdr:nvPicPr>
        <xdr:cNvPr id="65" name="Imagen 64">
          <a:extLst>
            <a:ext uri="{FF2B5EF4-FFF2-40B4-BE49-F238E27FC236}">
              <a16:creationId xmlns:a16="http://schemas.microsoft.com/office/drawing/2014/main" id="{496BA023-1A33-4F52-8B93-0C7BF00841B3}"/>
            </a:ext>
          </a:extLst>
        </xdr:cNvPr>
        <xdr:cNvPicPr>
          <a:picLocks noChangeAspect="1"/>
        </xdr:cNvPicPr>
      </xdr:nvPicPr>
      <xdr:blipFill>
        <a:blip xmlns:r="http://schemas.openxmlformats.org/officeDocument/2006/relationships" r:embed="rId57"/>
        <a:stretch>
          <a:fillRect/>
        </a:stretch>
      </xdr:blipFill>
      <xdr:spPr>
        <a:xfrm>
          <a:off x="5546911" y="266106089"/>
          <a:ext cx="4166729" cy="2906001"/>
        </a:xfrm>
        <a:prstGeom prst="rect">
          <a:avLst/>
        </a:prstGeom>
      </xdr:spPr>
    </xdr:pic>
    <xdr:clientData/>
  </xdr:twoCellAnchor>
  <xdr:twoCellAnchor editAs="oneCell">
    <xdr:from>
      <xdr:col>0</xdr:col>
      <xdr:colOff>112059</xdr:colOff>
      <xdr:row>1178</xdr:row>
      <xdr:rowOff>112060</xdr:rowOff>
    </xdr:from>
    <xdr:to>
      <xdr:col>4</xdr:col>
      <xdr:colOff>627530</xdr:colOff>
      <xdr:row>1204</xdr:row>
      <xdr:rowOff>164849</xdr:rowOff>
    </xdr:to>
    <xdr:pic>
      <xdr:nvPicPr>
        <xdr:cNvPr id="67" name="Imagen 66">
          <a:extLst>
            <a:ext uri="{FF2B5EF4-FFF2-40B4-BE49-F238E27FC236}">
              <a16:creationId xmlns:a16="http://schemas.microsoft.com/office/drawing/2014/main" id="{587A3CB1-98BF-450C-A3C8-A1F3E7EFBB9C}"/>
            </a:ext>
          </a:extLst>
        </xdr:cNvPr>
        <xdr:cNvPicPr>
          <a:picLocks noChangeAspect="1"/>
        </xdr:cNvPicPr>
      </xdr:nvPicPr>
      <xdr:blipFill>
        <a:blip xmlns:r="http://schemas.openxmlformats.org/officeDocument/2006/relationships" r:embed="rId58"/>
        <a:stretch>
          <a:fillRect/>
        </a:stretch>
      </xdr:blipFill>
      <xdr:spPr>
        <a:xfrm>
          <a:off x="112059" y="270129001"/>
          <a:ext cx="4504765" cy="4714437"/>
        </a:xfrm>
        <a:prstGeom prst="rect">
          <a:avLst/>
        </a:prstGeom>
      </xdr:spPr>
    </xdr:pic>
    <xdr:clientData/>
  </xdr:twoCellAnchor>
  <xdr:twoCellAnchor>
    <xdr:from>
      <xdr:col>1</xdr:col>
      <xdr:colOff>934008</xdr:colOff>
      <xdr:row>1239</xdr:row>
      <xdr:rowOff>167527</xdr:rowOff>
    </xdr:from>
    <xdr:to>
      <xdr:col>5</xdr:col>
      <xdr:colOff>268942</xdr:colOff>
      <xdr:row>1241</xdr:row>
      <xdr:rowOff>92600</xdr:rowOff>
    </xdr:to>
    <xdr:pic>
      <xdr:nvPicPr>
        <xdr:cNvPr id="169" name="Picture 1220">
          <a:extLst>
            <a:ext uri="{FF2B5EF4-FFF2-40B4-BE49-F238E27FC236}">
              <a16:creationId xmlns:a16="http://schemas.microsoft.com/office/drawing/2014/main" id="{3D5D4591-8F98-49A6-B372-35002415601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976155" y="281300703"/>
          <a:ext cx="2976846" cy="373309"/>
        </a:xfrm>
        <a:prstGeom prst="rect">
          <a:avLst/>
        </a:prstGeom>
        <a:noFill/>
      </xdr:spPr>
    </xdr:pic>
    <xdr:clientData/>
  </xdr:twoCellAnchor>
  <xdr:twoCellAnchor>
    <xdr:from>
      <xdr:col>40</xdr:col>
      <xdr:colOff>318494</xdr:colOff>
      <xdr:row>1267</xdr:row>
      <xdr:rowOff>126163</xdr:rowOff>
    </xdr:from>
    <xdr:to>
      <xdr:col>43</xdr:col>
      <xdr:colOff>182768</xdr:colOff>
      <xdr:row>1270</xdr:row>
      <xdr:rowOff>0</xdr:rowOff>
    </xdr:to>
    <xdr:pic>
      <xdr:nvPicPr>
        <xdr:cNvPr id="170" name="Picture 1272">
          <a:extLst>
            <a:ext uri="{FF2B5EF4-FFF2-40B4-BE49-F238E27FC236}">
              <a16:creationId xmlns:a16="http://schemas.microsoft.com/office/drawing/2014/main" id="{89DE47FB-6A2F-4BF9-BEB8-484A716D52A9}"/>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21641" y="248963987"/>
          <a:ext cx="2150274" cy="770307"/>
        </a:xfrm>
        <a:prstGeom prst="rect">
          <a:avLst/>
        </a:prstGeom>
        <a:noFill/>
      </xdr:spPr>
    </xdr:pic>
    <xdr:clientData/>
  </xdr:twoCellAnchor>
  <xdr:twoCellAnchor>
    <xdr:from>
      <xdr:col>7</xdr:col>
      <xdr:colOff>0</xdr:colOff>
      <xdr:row>1255</xdr:row>
      <xdr:rowOff>0</xdr:rowOff>
    </xdr:from>
    <xdr:to>
      <xdr:col>8</xdr:col>
      <xdr:colOff>100853</xdr:colOff>
      <xdr:row>1256</xdr:row>
      <xdr:rowOff>0</xdr:rowOff>
    </xdr:to>
    <xdr:sp macro="" textlink="">
      <xdr:nvSpPr>
        <xdr:cNvPr id="171" name="Flecha: a la derecha 170">
          <a:extLst>
            <a:ext uri="{FF2B5EF4-FFF2-40B4-BE49-F238E27FC236}">
              <a16:creationId xmlns:a16="http://schemas.microsoft.com/office/drawing/2014/main" id="{A0272113-C96D-4182-B5C3-A9C6E394B5A7}"/>
            </a:ext>
          </a:extLst>
        </xdr:cNvPr>
        <xdr:cNvSpPr/>
      </xdr:nvSpPr>
      <xdr:spPr>
        <a:xfrm>
          <a:off x="5939118" y="246148412"/>
          <a:ext cx="661147" cy="22411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33618</xdr:colOff>
      <xdr:row>1259</xdr:row>
      <xdr:rowOff>212912</xdr:rowOff>
    </xdr:from>
    <xdr:to>
      <xdr:col>8</xdr:col>
      <xdr:colOff>134471</xdr:colOff>
      <xdr:row>1260</xdr:row>
      <xdr:rowOff>212913</xdr:rowOff>
    </xdr:to>
    <xdr:sp macro="" textlink="">
      <xdr:nvSpPr>
        <xdr:cNvPr id="172" name="Flecha: a la derecha 171">
          <a:extLst>
            <a:ext uri="{FF2B5EF4-FFF2-40B4-BE49-F238E27FC236}">
              <a16:creationId xmlns:a16="http://schemas.microsoft.com/office/drawing/2014/main" id="{F8D7C798-87FB-45EF-8E31-1AD1FDB37E28}"/>
            </a:ext>
          </a:extLst>
        </xdr:cNvPr>
        <xdr:cNvSpPr/>
      </xdr:nvSpPr>
      <xdr:spPr>
        <a:xfrm>
          <a:off x="5972736" y="247257794"/>
          <a:ext cx="661147" cy="2241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xdr:from>
      <xdr:col>7</xdr:col>
      <xdr:colOff>6725</xdr:colOff>
      <xdr:row>1257</xdr:row>
      <xdr:rowOff>186019</xdr:rowOff>
    </xdr:from>
    <xdr:to>
      <xdr:col>8</xdr:col>
      <xdr:colOff>107578</xdr:colOff>
      <xdr:row>1258</xdr:row>
      <xdr:rowOff>186019</xdr:rowOff>
    </xdr:to>
    <xdr:sp macro="" textlink="">
      <xdr:nvSpPr>
        <xdr:cNvPr id="173" name="Flecha: a la derecha 172">
          <a:extLst>
            <a:ext uri="{FF2B5EF4-FFF2-40B4-BE49-F238E27FC236}">
              <a16:creationId xmlns:a16="http://schemas.microsoft.com/office/drawing/2014/main" id="{EB6FE219-9798-456F-830B-126E751CFBA4}"/>
            </a:ext>
          </a:extLst>
        </xdr:cNvPr>
        <xdr:cNvSpPr/>
      </xdr:nvSpPr>
      <xdr:spPr>
        <a:xfrm>
          <a:off x="5945843" y="246782666"/>
          <a:ext cx="661147" cy="22411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13</xdr:col>
      <xdr:colOff>291352</xdr:colOff>
      <xdr:row>1178</xdr:row>
      <xdr:rowOff>156883</xdr:rowOff>
    </xdr:from>
    <xdr:to>
      <xdr:col>20</xdr:col>
      <xdr:colOff>616323</xdr:colOff>
      <xdr:row>1200</xdr:row>
      <xdr:rowOff>26886</xdr:rowOff>
    </xdr:to>
    <xdr:pic>
      <xdr:nvPicPr>
        <xdr:cNvPr id="14" name="Imagen 13">
          <a:extLst>
            <a:ext uri="{FF2B5EF4-FFF2-40B4-BE49-F238E27FC236}">
              <a16:creationId xmlns:a16="http://schemas.microsoft.com/office/drawing/2014/main" id="{2A53331C-35D2-4B66-AC67-2F0DBCEAD9D5}"/>
            </a:ext>
          </a:extLst>
        </xdr:cNvPr>
        <xdr:cNvPicPr>
          <a:picLocks noChangeAspect="1"/>
        </xdr:cNvPicPr>
      </xdr:nvPicPr>
      <xdr:blipFill>
        <a:blip xmlns:r="http://schemas.openxmlformats.org/officeDocument/2006/relationships" r:embed="rId59"/>
        <a:stretch>
          <a:fillRect/>
        </a:stretch>
      </xdr:blipFill>
      <xdr:spPr>
        <a:xfrm>
          <a:off x="10275793" y="259393765"/>
          <a:ext cx="7395883" cy="3814473"/>
        </a:xfrm>
        <a:prstGeom prst="rect">
          <a:avLst/>
        </a:prstGeom>
      </xdr:spPr>
    </xdr:pic>
    <xdr:clientData/>
  </xdr:twoCellAnchor>
  <xdr:twoCellAnchor editAs="oneCell">
    <xdr:from>
      <xdr:col>13</xdr:col>
      <xdr:colOff>257735</xdr:colOff>
      <xdr:row>1201</xdr:row>
      <xdr:rowOff>22411</xdr:rowOff>
    </xdr:from>
    <xdr:to>
      <xdr:col>20</xdr:col>
      <xdr:colOff>605118</xdr:colOff>
      <xdr:row>1222</xdr:row>
      <xdr:rowOff>103541</xdr:rowOff>
    </xdr:to>
    <xdr:pic>
      <xdr:nvPicPr>
        <xdr:cNvPr id="33" name="Imagen 32">
          <a:extLst>
            <a:ext uri="{FF2B5EF4-FFF2-40B4-BE49-F238E27FC236}">
              <a16:creationId xmlns:a16="http://schemas.microsoft.com/office/drawing/2014/main" id="{4A4CC917-19BB-4468-B22A-5FF9CA9C209D}"/>
            </a:ext>
          </a:extLst>
        </xdr:cNvPr>
        <xdr:cNvPicPr>
          <a:picLocks noChangeAspect="1"/>
        </xdr:cNvPicPr>
      </xdr:nvPicPr>
      <xdr:blipFill>
        <a:blip xmlns:r="http://schemas.openxmlformats.org/officeDocument/2006/relationships" r:embed="rId60"/>
        <a:stretch>
          <a:fillRect/>
        </a:stretch>
      </xdr:blipFill>
      <xdr:spPr>
        <a:xfrm>
          <a:off x="10242176" y="263383058"/>
          <a:ext cx="7418295" cy="3846307"/>
        </a:xfrm>
        <a:prstGeom prst="rect">
          <a:avLst/>
        </a:prstGeom>
      </xdr:spPr>
    </xdr:pic>
    <xdr:clientData/>
  </xdr:twoCellAnchor>
  <xdr:twoCellAnchor editAs="oneCell">
    <xdr:from>
      <xdr:col>13</xdr:col>
      <xdr:colOff>291353</xdr:colOff>
      <xdr:row>1221</xdr:row>
      <xdr:rowOff>78442</xdr:rowOff>
    </xdr:from>
    <xdr:to>
      <xdr:col>20</xdr:col>
      <xdr:colOff>605118</xdr:colOff>
      <xdr:row>1239</xdr:row>
      <xdr:rowOff>50266</xdr:rowOff>
    </xdr:to>
    <xdr:pic>
      <xdr:nvPicPr>
        <xdr:cNvPr id="53" name="Imagen 52">
          <a:extLst>
            <a:ext uri="{FF2B5EF4-FFF2-40B4-BE49-F238E27FC236}">
              <a16:creationId xmlns:a16="http://schemas.microsoft.com/office/drawing/2014/main" id="{2CDB0FD6-E789-4622-AB2C-E51A7AB441F1}"/>
            </a:ext>
          </a:extLst>
        </xdr:cNvPr>
        <xdr:cNvPicPr>
          <a:picLocks noChangeAspect="1"/>
        </xdr:cNvPicPr>
      </xdr:nvPicPr>
      <xdr:blipFill>
        <a:blip xmlns:r="http://schemas.openxmlformats.org/officeDocument/2006/relationships" r:embed="rId61"/>
        <a:stretch>
          <a:fillRect/>
        </a:stretch>
      </xdr:blipFill>
      <xdr:spPr>
        <a:xfrm>
          <a:off x="10275794" y="267383560"/>
          <a:ext cx="7384677" cy="3199118"/>
        </a:xfrm>
        <a:prstGeom prst="rect">
          <a:avLst/>
        </a:prstGeom>
      </xdr:spPr>
    </xdr:pic>
    <xdr:clientData/>
  </xdr:twoCellAnchor>
  <xdr:twoCellAnchor editAs="oneCell">
    <xdr:from>
      <xdr:col>2</xdr:col>
      <xdr:colOff>156882</xdr:colOff>
      <xdr:row>621</xdr:row>
      <xdr:rowOff>44825</xdr:rowOff>
    </xdr:from>
    <xdr:to>
      <xdr:col>8</xdr:col>
      <xdr:colOff>593912</xdr:colOff>
      <xdr:row>631</xdr:row>
      <xdr:rowOff>126630</xdr:rowOff>
    </xdr:to>
    <xdr:pic>
      <xdr:nvPicPr>
        <xdr:cNvPr id="165" name="Imagen 164">
          <a:extLst>
            <a:ext uri="{FF2B5EF4-FFF2-40B4-BE49-F238E27FC236}">
              <a16:creationId xmlns:a16="http://schemas.microsoft.com/office/drawing/2014/main" id="{7F677BA2-1AA7-4F1A-9DC6-5880B2169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76" y="141037237"/>
          <a:ext cx="4852148" cy="2322982"/>
        </a:xfrm>
        <a:prstGeom prst="rect">
          <a:avLst/>
        </a:prstGeom>
        <a:noFill/>
        <a:ln>
          <a:solidFill>
            <a:srgbClr val="0000CC"/>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720</xdr:row>
      <xdr:rowOff>43141</xdr:rowOff>
    </xdr:from>
    <xdr:to>
      <xdr:col>5</xdr:col>
      <xdr:colOff>257984</xdr:colOff>
      <xdr:row>741</xdr:row>
      <xdr:rowOff>200025</xdr:rowOff>
    </xdr:to>
    <xdr:pic>
      <xdr:nvPicPr>
        <xdr:cNvPr id="12" name="Imagen 11">
          <a:extLst>
            <a:ext uri="{FF2B5EF4-FFF2-40B4-BE49-F238E27FC236}">
              <a16:creationId xmlns:a16="http://schemas.microsoft.com/office/drawing/2014/main" id="{C218A442-ECFD-48A2-8254-ED3D4FBBC649}"/>
            </a:ext>
          </a:extLst>
        </xdr:cNvPr>
        <xdr:cNvPicPr>
          <a:picLocks noChangeAspect="1"/>
        </xdr:cNvPicPr>
      </xdr:nvPicPr>
      <xdr:blipFill>
        <a:blip xmlns:r="http://schemas.openxmlformats.org/officeDocument/2006/relationships" r:embed="rId62"/>
        <a:stretch>
          <a:fillRect/>
        </a:stretch>
      </xdr:blipFill>
      <xdr:spPr>
        <a:xfrm>
          <a:off x="0" y="159405916"/>
          <a:ext cx="4934759" cy="4757459"/>
        </a:xfrm>
        <a:prstGeom prst="rect">
          <a:avLst/>
        </a:prstGeom>
      </xdr:spPr>
    </xdr:pic>
    <xdr:clientData/>
  </xdr:twoCellAnchor>
  <xdr:twoCellAnchor editAs="oneCell">
    <xdr:from>
      <xdr:col>5</xdr:col>
      <xdr:colOff>285465</xdr:colOff>
      <xdr:row>720</xdr:row>
      <xdr:rowOff>60512</xdr:rowOff>
    </xdr:from>
    <xdr:to>
      <xdr:col>12</xdr:col>
      <xdr:colOff>409574</xdr:colOff>
      <xdr:row>741</xdr:row>
      <xdr:rowOff>95250</xdr:rowOff>
    </xdr:to>
    <xdr:pic>
      <xdr:nvPicPr>
        <xdr:cNvPr id="13" name="Imagen 12">
          <a:extLst>
            <a:ext uri="{FF2B5EF4-FFF2-40B4-BE49-F238E27FC236}">
              <a16:creationId xmlns:a16="http://schemas.microsoft.com/office/drawing/2014/main" id="{8103FADF-A281-43A3-99C5-76C10C255D27}"/>
            </a:ext>
          </a:extLst>
        </xdr:cNvPr>
        <xdr:cNvPicPr>
          <a:picLocks noChangeAspect="1"/>
        </xdr:cNvPicPr>
      </xdr:nvPicPr>
      <xdr:blipFill>
        <a:blip xmlns:r="http://schemas.openxmlformats.org/officeDocument/2006/relationships" r:embed="rId63"/>
        <a:stretch>
          <a:fillRect/>
        </a:stretch>
      </xdr:blipFill>
      <xdr:spPr>
        <a:xfrm>
          <a:off x="4962240" y="159423287"/>
          <a:ext cx="4924709" cy="4635313"/>
        </a:xfrm>
        <a:prstGeom prst="rect">
          <a:avLst/>
        </a:prstGeom>
      </xdr:spPr>
    </xdr:pic>
    <xdr:clientData/>
  </xdr:twoCellAnchor>
  <xdr:twoCellAnchor editAs="oneCell">
    <xdr:from>
      <xdr:col>0</xdr:col>
      <xdr:colOff>78440</xdr:colOff>
      <xdr:row>766</xdr:row>
      <xdr:rowOff>11205</xdr:rowOff>
    </xdr:from>
    <xdr:to>
      <xdr:col>5</xdr:col>
      <xdr:colOff>280146</xdr:colOff>
      <xdr:row>782</xdr:row>
      <xdr:rowOff>152401</xdr:rowOff>
    </xdr:to>
    <xdr:pic>
      <xdr:nvPicPr>
        <xdr:cNvPr id="20" name="Imagen 19">
          <a:extLst>
            <a:ext uri="{FF2B5EF4-FFF2-40B4-BE49-F238E27FC236}">
              <a16:creationId xmlns:a16="http://schemas.microsoft.com/office/drawing/2014/main" id="{2A33CCA8-7753-405B-9EC6-55F1AE737333}"/>
            </a:ext>
          </a:extLst>
        </xdr:cNvPr>
        <xdr:cNvPicPr>
          <a:picLocks noChangeAspect="1"/>
        </xdr:cNvPicPr>
      </xdr:nvPicPr>
      <xdr:blipFill>
        <a:blip xmlns:r="http://schemas.openxmlformats.org/officeDocument/2006/relationships" r:embed="rId64"/>
        <a:stretch>
          <a:fillRect/>
        </a:stretch>
      </xdr:blipFill>
      <xdr:spPr>
        <a:xfrm>
          <a:off x="78440" y="169470480"/>
          <a:ext cx="4878481" cy="3646396"/>
        </a:xfrm>
        <a:prstGeom prst="rect">
          <a:avLst/>
        </a:prstGeom>
      </xdr:spPr>
    </xdr:pic>
    <xdr:clientData/>
  </xdr:twoCellAnchor>
  <xdr:twoCellAnchor editAs="oneCell">
    <xdr:from>
      <xdr:col>5</xdr:col>
      <xdr:colOff>324971</xdr:colOff>
      <xdr:row>766</xdr:row>
      <xdr:rowOff>22411</xdr:rowOff>
    </xdr:from>
    <xdr:to>
      <xdr:col>12</xdr:col>
      <xdr:colOff>459443</xdr:colOff>
      <xdr:row>782</xdr:row>
      <xdr:rowOff>171450</xdr:rowOff>
    </xdr:to>
    <xdr:pic>
      <xdr:nvPicPr>
        <xdr:cNvPr id="21" name="Imagen 20">
          <a:extLst>
            <a:ext uri="{FF2B5EF4-FFF2-40B4-BE49-F238E27FC236}">
              <a16:creationId xmlns:a16="http://schemas.microsoft.com/office/drawing/2014/main" id="{C7FBF4EF-ED8D-4EBB-ACD2-A637188103A4}"/>
            </a:ext>
          </a:extLst>
        </xdr:cNvPr>
        <xdr:cNvPicPr>
          <a:picLocks noChangeAspect="1"/>
        </xdr:cNvPicPr>
      </xdr:nvPicPr>
      <xdr:blipFill>
        <a:blip xmlns:r="http://schemas.openxmlformats.org/officeDocument/2006/relationships" r:embed="rId65"/>
        <a:stretch>
          <a:fillRect/>
        </a:stretch>
      </xdr:blipFill>
      <xdr:spPr>
        <a:xfrm>
          <a:off x="5001746" y="169481686"/>
          <a:ext cx="4935072" cy="3654239"/>
        </a:xfrm>
        <a:prstGeom prst="rect">
          <a:avLst/>
        </a:prstGeom>
      </xdr:spPr>
    </xdr:pic>
    <xdr:clientData/>
  </xdr:twoCellAnchor>
  <xdr:twoCellAnchor editAs="oneCell">
    <xdr:from>
      <xdr:col>5</xdr:col>
      <xdr:colOff>22411</xdr:colOff>
      <xdr:row>789</xdr:row>
      <xdr:rowOff>179296</xdr:rowOff>
    </xdr:from>
    <xdr:to>
      <xdr:col>12</xdr:col>
      <xdr:colOff>435761</xdr:colOff>
      <xdr:row>812</xdr:row>
      <xdr:rowOff>89648</xdr:rowOff>
    </xdr:to>
    <xdr:pic>
      <xdr:nvPicPr>
        <xdr:cNvPr id="23" name="Imagen 22">
          <a:extLst>
            <a:ext uri="{FF2B5EF4-FFF2-40B4-BE49-F238E27FC236}">
              <a16:creationId xmlns:a16="http://schemas.microsoft.com/office/drawing/2014/main" id="{EC895EB4-A140-47D0-B171-A87A84C8FF4F}"/>
            </a:ext>
          </a:extLst>
        </xdr:cNvPr>
        <xdr:cNvPicPr>
          <a:picLocks noChangeAspect="1"/>
        </xdr:cNvPicPr>
      </xdr:nvPicPr>
      <xdr:blipFill>
        <a:blip xmlns:r="http://schemas.openxmlformats.org/officeDocument/2006/relationships" r:embed="rId66"/>
        <a:stretch>
          <a:fillRect/>
        </a:stretch>
      </xdr:blipFill>
      <xdr:spPr>
        <a:xfrm>
          <a:off x="4706470" y="181512884"/>
          <a:ext cx="5209467" cy="5065058"/>
        </a:xfrm>
        <a:prstGeom prst="rect">
          <a:avLst/>
        </a:prstGeom>
      </xdr:spPr>
    </xdr:pic>
    <xdr:clientData/>
  </xdr:twoCellAnchor>
  <xdr:twoCellAnchor editAs="oneCell">
    <xdr:from>
      <xdr:col>5</xdr:col>
      <xdr:colOff>44823</xdr:colOff>
      <xdr:row>823</xdr:row>
      <xdr:rowOff>22413</xdr:rowOff>
    </xdr:from>
    <xdr:to>
      <xdr:col>12</xdr:col>
      <xdr:colOff>434552</xdr:colOff>
      <xdr:row>845</xdr:row>
      <xdr:rowOff>123267</xdr:rowOff>
    </xdr:to>
    <xdr:pic>
      <xdr:nvPicPr>
        <xdr:cNvPr id="28" name="Imagen 27">
          <a:extLst>
            <a:ext uri="{FF2B5EF4-FFF2-40B4-BE49-F238E27FC236}">
              <a16:creationId xmlns:a16="http://schemas.microsoft.com/office/drawing/2014/main" id="{105689F1-67D7-4FA2-8B52-71E449EDB911}"/>
            </a:ext>
          </a:extLst>
        </xdr:cNvPr>
        <xdr:cNvPicPr>
          <a:picLocks noChangeAspect="1"/>
        </xdr:cNvPicPr>
      </xdr:nvPicPr>
      <xdr:blipFill>
        <a:blip xmlns:r="http://schemas.openxmlformats.org/officeDocument/2006/relationships" r:embed="rId67"/>
        <a:stretch>
          <a:fillRect/>
        </a:stretch>
      </xdr:blipFill>
      <xdr:spPr>
        <a:xfrm>
          <a:off x="4728882" y="188976001"/>
          <a:ext cx="5185846" cy="5031442"/>
        </a:xfrm>
        <a:prstGeom prst="rect">
          <a:avLst/>
        </a:prstGeom>
      </xdr:spPr>
    </xdr:pic>
    <xdr:clientData/>
  </xdr:twoCellAnchor>
  <xdr:twoCellAnchor editAs="oneCell">
    <xdr:from>
      <xdr:col>0</xdr:col>
      <xdr:colOff>100853</xdr:colOff>
      <xdr:row>940</xdr:row>
      <xdr:rowOff>0</xdr:rowOff>
    </xdr:from>
    <xdr:to>
      <xdr:col>5</xdr:col>
      <xdr:colOff>258958</xdr:colOff>
      <xdr:row>961</xdr:row>
      <xdr:rowOff>0</xdr:rowOff>
    </xdr:to>
    <xdr:pic>
      <xdr:nvPicPr>
        <xdr:cNvPr id="29" name="Imagen 28">
          <a:extLst>
            <a:ext uri="{FF2B5EF4-FFF2-40B4-BE49-F238E27FC236}">
              <a16:creationId xmlns:a16="http://schemas.microsoft.com/office/drawing/2014/main" id="{DFF7FADF-FFCA-4093-8710-A0AE4ADF91BC}"/>
            </a:ext>
          </a:extLst>
        </xdr:cNvPr>
        <xdr:cNvPicPr>
          <a:picLocks noChangeAspect="1"/>
        </xdr:cNvPicPr>
      </xdr:nvPicPr>
      <xdr:blipFill rotWithShape="1">
        <a:blip xmlns:r="http://schemas.openxmlformats.org/officeDocument/2006/relationships" r:embed="rId68"/>
        <a:srcRect b="5555"/>
        <a:stretch/>
      </xdr:blipFill>
      <xdr:spPr>
        <a:xfrm>
          <a:off x="100853" y="208102200"/>
          <a:ext cx="4834880" cy="4600575"/>
        </a:xfrm>
        <a:prstGeom prst="rect">
          <a:avLst/>
        </a:prstGeom>
      </xdr:spPr>
    </xdr:pic>
    <xdr:clientData/>
  </xdr:twoCellAnchor>
  <xdr:twoCellAnchor editAs="oneCell">
    <xdr:from>
      <xdr:col>5</xdr:col>
      <xdr:colOff>448237</xdr:colOff>
      <xdr:row>940</xdr:row>
      <xdr:rowOff>0</xdr:rowOff>
    </xdr:from>
    <xdr:to>
      <xdr:col>12</xdr:col>
      <xdr:colOff>462104</xdr:colOff>
      <xdr:row>961</xdr:row>
      <xdr:rowOff>22412</xdr:rowOff>
    </xdr:to>
    <xdr:pic>
      <xdr:nvPicPr>
        <xdr:cNvPr id="30" name="Imagen 29">
          <a:extLst>
            <a:ext uri="{FF2B5EF4-FFF2-40B4-BE49-F238E27FC236}">
              <a16:creationId xmlns:a16="http://schemas.microsoft.com/office/drawing/2014/main" id="{5EF42253-C69D-4594-96DF-6B07389D6C1B}"/>
            </a:ext>
          </a:extLst>
        </xdr:cNvPr>
        <xdr:cNvPicPr>
          <a:picLocks noChangeAspect="1"/>
        </xdr:cNvPicPr>
      </xdr:nvPicPr>
      <xdr:blipFill rotWithShape="1">
        <a:blip xmlns:r="http://schemas.openxmlformats.org/officeDocument/2006/relationships" r:embed="rId69"/>
        <a:srcRect b="2315"/>
        <a:stretch/>
      </xdr:blipFill>
      <xdr:spPr>
        <a:xfrm>
          <a:off x="5132296" y="217573411"/>
          <a:ext cx="4809984" cy="4728883"/>
        </a:xfrm>
        <a:prstGeom prst="rect">
          <a:avLst/>
        </a:prstGeom>
      </xdr:spPr>
    </xdr:pic>
    <xdr:clientData/>
  </xdr:twoCellAnchor>
  <xdr:twoCellAnchor editAs="oneCell">
    <xdr:from>
      <xdr:col>0</xdr:col>
      <xdr:colOff>100854</xdr:colOff>
      <xdr:row>962</xdr:row>
      <xdr:rowOff>212913</xdr:rowOff>
    </xdr:from>
    <xdr:to>
      <xdr:col>5</xdr:col>
      <xdr:colOff>252813</xdr:colOff>
      <xdr:row>982</xdr:row>
      <xdr:rowOff>100854</xdr:rowOff>
    </xdr:to>
    <xdr:pic>
      <xdr:nvPicPr>
        <xdr:cNvPr id="84" name="Imagen 83">
          <a:extLst>
            <a:ext uri="{FF2B5EF4-FFF2-40B4-BE49-F238E27FC236}">
              <a16:creationId xmlns:a16="http://schemas.microsoft.com/office/drawing/2014/main" id="{B51A0876-7D49-4163-B392-561F137ECE1F}"/>
            </a:ext>
          </a:extLst>
        </xdr:cNvPr>
        <xdr:cNvPicPr>
          <a:picLocks noChangeAspect="1"/>
        </xdr:cNvPicPr>
      </xdr:nvPicPr>
      <xdr:blipFill>
        <a:blip xmlns:r="http://schemas.openxmlformats.org/officeDocument/2006/relationships" r:embed="rId70"/>
        <a:stretch>
          <a:fillRect/>
        </a:stretch>
      </xdr:blipFill>
      <xdr:spPr>
        <a:xfrm>
          <a:off x="100854" y="222806560"/>
          <a:ext cx="4836018" cy="4370294"/>
        </a:xfrm>
        <a:prstGeom prst="rect">
          <a:avLst/>
        </a:prstGeom>
      </xdr:spPr>
    </xdr:pic>
    <xdr:clientData/>
  </xdr:twoCellAnchor>
  <xdr:twoCellAnchor editAs="oneCell">
    <xdr:from>
      <xdr:col>5</xdr:col>
      <xdr:colOff>459441</xdr:colOff>
      <xdr:row>963</xdr:row>
      <xdr:rowOff>67235</xdr:rowOff>
    </xdr:from>
    <xdr:to>
      <xdr:col>12</xdr:col>
      <xdr:colOff>467043</xdr:colOff>
      <xdr:row>982</xdr:row>
      <xdr:rowOff>56030</xdr:rowOff>
    </xdr:to>
    <xdr:pic>
      <xdr:nvPicPr>
        <xdr:cNvPr id="147" name="Imagen 146">
          <a:extLst>
            <a:ext uri="{FF2B5EF4-FFF2-40B4-BE49-F238E27FC236}">
              <a16:creationId xmlns:a16="http://schemas.microsoft.com/office/drawing/2014/main" id="{4A17CD87-5EDC-4792-B64F-B4ABDFE1A425}"/>
            </a:ext>
          </a:extLst>
        </xdr:cNvPr>
        <xdr:cNvPicPr>
          <a:picLocks noChangeAspect="1"/>
        </xdr:cNvPicPr>
      </xdr:nvPicPr>
      <xdr:blipFill>
        <a:blip xmlns:r="http://schemas.openxmlformats.org/officeDocument/2006/relationships" r:embed="rId71"/>
        <a:stretch>
          <a:fillRect/>
        </a:stretch>
      </xdr:blipFill>
      <xdr:spPr>
        <a:xfrm>
          <a:off x="5143500" y="222885000"/>
          <a:ext cx="4803719" cy="4247029"/>
        </a:xfrm>
        <a:prstGeom prst="rect">
          <a:avLst/>
        </a:prstGeom>
      </xdr:spPr>
    </xdr:pic>
    <xdr:clientData/>
  </xdr:twoCellAnchor>
  <xdr:twoCellAnchor editAs="oneCell">
    <xdr:from>
      <xdr:col>5</xdr:col>
      <xdr:colOff>128438</xdr:colOff>
      <xdr:row>1183</xdr:row>
      <xdr:rowOff>10775</xdr:rowOff>
    </xdr:from>
    <xdr:to>
      <xdr:col>12</xdr:col>
      <xdr:colOff>238341</xdr:colOff>
      <xdr:row>1204</xdr:row>
      <xdr:rowOff>123825</xdr:rowOff>
    </xdr:to>
    <xdr:pic>
      <xdr:nvPicPr>
        <xdr:cNvPr id="149" name="Imagen 148">
          <a:extLst>
            <a:ext uri="{FF2B5EF4-FFF2-40B4-BE49-F238E27FC236}">
              <a16:creationId xmlns:a16="http://schemas.microsoft.com/office/drawing/2014/main" id="{292712FB-0CFA-43A9-BB52-205CB4F1DE36}"/>
            </a:ext>
          </a:extLst>
        </xdr:cNvPr>
        <xdr:cNvPicPr>
          <a:picLocks noChangeAspect="1"/>
        </xdr:cNvPicPr>
      </xdr:nvPicPr>
      <xdr:blipFill rotWithShape="1">
        <a:blip xmlns:r="http://schemas.openxmlformats.org/officeDocument/2006/relationships" r:embed="rId72"/>
        <a:srcRect r="1303" b="3687"/>
        <a:stretch/>
      </xdr:blipFill>
      <xdr:spPr>
        <a:xfrm>
          <a:off x="4805213" y="257766800"/>
          <a:ext cx="4910503" cy="3913525"/>
        </a:xfrm>
        <a:prstGeom prst="rect">
          <a:avLst/>
        </a:prstGeom>
      </xdr:spPr>
    </xdr:pic>
    <xdr:clientData/>
  </xdr:twoCellAnchor>
  <xdr:twoCellAnchor editAs="oneCell">
    <xdr:from>
      <xdr:col>5</xdr:col>
      <xdr:colOff>344365</xdr:colOff>
      <xdr:row>1210</xdr:row>
      <xdr:rowOff>51290</xdr:rowOff>
    </xdr:from>
    <xdr:to>
      <xdr:col>12</xdr:col>
      <xdr:colOff>447675</xdr:colOff>
      <xdr:row>1231</xdr:row>
      <xdr:rowOff>76201</xdr:rowOff>
    </xdr:to>
    <xdr:pic>
      <xdr:nvPicPr>
        <xdr:cNvPr id="152" name="Imagen 151">
          <a:extLst>
            <a:ext uri="{FF2B5EF4-FFF2-40B4-BE49-F238E27FC236}">
              <a16:creationId xmlns:a16="http://schemas.microsoft.com/office/drawing/2014/main" id="{05DCD805-C525-4ED0-9C3C-7F6892119B57}"/>
            </a:ext>
          </a:extLst>
        </xdr:cNvPr>
        <xdr:cNvPicPr>
          <a:picLocks noChangeAspect="1"/>
        </xdr:cNvPicPr>
      </xdr:nvPicPr>
      <xdr:blipFill>
        <a:blip xmlns:r="http://schemas.openxmlformats.org/officeDocument/2006/relationships" r:embed="rId73"/>
        <a:stretch>
          <a:fillRect/>
        </a:stretch>
      </xdr:blipFill>
      <xdr:spPr>
        <a:xfrm>
          <a:off x="5021140" y="262693640"/>
          <a:ext cx="4903910" cy="3825386"/>
        </a:xfrm>
        <a:prstGeom prst="rect">
          <a:avLst/>
        </a:prstGeom>
      </xdr:spPr>
    </xdr:pic>
    <xdr:clientData/>
  </xdr:twoCellAnchor>
  <xdr:twoCellAnchor editAs="oneCell">
    <xdr:from>
      <xdr:col>0</xdr:col>
      <xdr:colOff>21981</xdr:colOff>
      <xdr:row>1210</xdr:row>
      <xdr:rowOff>43963</xdr:rowOff>
    </xdr:from>
    <xdr:to>
      <xdr:col>5</xdr:col>
      <xdr:colOff>270365</xdr:colOff>
      <xdr:row>1231</xdr:row>
      <xdr:rowOff>161925</xdr:rowOff>
    </xdr:to>
    <xdr:pic>
      <xdr:nvPicPr>
        <xdr:cNvPr id="153" name="Imagen 152">
          <a:extLst>
            <a:ext uri="{FF2B5EF4-FFF2-40B4-BE49-F238E27FC236}">
              <a16:creationId xmlns:a16="http://schemas.microsoft.com/office/drawing/2014/main" id="{B50370C4-CCE3-4C1D-9051-76369DB53168}"/>
            </a:ext>
          </a:extLst>
        </xdr:cNvPr>
        <xdr:cNvPicPr>
          <a:picLocks noChangeAspect="1"/>
        </xdr:cNvPicPr>
      </xdr:nvPicPr>
      <xdr:blipFill>
        <a:blip xmlns:r="http://schemas.openxmlformats.org/officeDocument/2006/relationships" r:embed="rId74"/>
        <a:stretch>
          <a:fillRect/>
        </a:stretch>
      </xdr:blipFill>
      <xdr:spPr>
        <a:xfrm>
          <a:off x="21981" y="262686313"/>
          <a:ext cx="4925159" cy="3918437"/>
        </a:xfrm>
        <a:prstGeom prst="rect">
          <a:avLst/>
        </a:prstGeom>
      </xdr:spPr>
    </xdr:pic>
    <xdr:clientData/>
  </xdr:twoCellAnchor>
  <xdr:twoCellAnchor editAs="oneCell">
    <xdr:from>
      <xdr:col>5</xdr:col>
      <xdr:colOff>280146</xdr:colOff>
      <xdr:row>1273</xdr:row>
      <xdr:rowOff>212913</xdr:rowOff>
    </xdr:from>
    <xdr:to>
      <xdr:col>12</xdr:col>
      <xdr:colOff>302002</xdr:colOff>
      <xdr:row>1295</xdr:row>
      <xdr:rowOff>72690</xdr:rowOff>
    </xdr:to>
    <xdr:pic>
      <xdr:nvPicPr>
        <xdr:cNvPr id="178" name="Imagen 177">
          <a:extLst>
            <a:ext uri="{FF2B5EF4-FFF2-40B4-BE49-F238E27FC236}">
              <a16:creationId xmlns:a16="http://schemas.microsoft.com/office/drawing/2014/main" id="{EDBA7B78-1321-4CC0-AD11-340530440DE3}"/>
            </a:ext>
          </a:extLst>
        </xdr:cNvPr>
        <xdr:cNvPicPr>
          <a:picLocks noChangeAspect="1"/>
        </xdr:cNvPicPr>
      </xdr:nvPicPr>
      <xdr:blipFill>
        <a:blip xmlns:r="http://schemas.openxmlformats.org/officeDocument/2006/relationships" r:embed="rId75"/>
        <a:stretch>
          <a:fillRect/>
        </a:stretch>
      </xdr:blipFill>
      <xdr:spPr>
        <a:xfrm>
          <a:off x="4964205" y="288966089"/>
          <a:ext cx="4817973" cy="4118013"/>
        </a:xfrm>
        <a:prstGeom prst="rect">
          <a:avLst/>
        </a:prstGeom>
      </xdr:spPr>
    </xdr:pic>
    <xdr:clientData/>
  </xdr:twoCellAnchor>
  <xdr:twoCellAnchor editAs="oneCell">
    <xdr:from>
      <xdr:col>0</xdr:col>
      <xdr:colOff>33617</xdr:colOff>
      <xdr:row>1273</xdr:row>
      <xdr:rowOff>190500</xdr:rowOff>
    </xdr:from>
    <xdr:to>
      <xdr:col>5</xdr:col>
      <xdr:colOff>168087</xdr:colOff>
      <xdr:row>1295</xdr:row>
      <xdr:rowOff>13004</xdr:rowOff>
    </xdr:to>
    <xdr:pic>
      <xdr:nvPicPr>
        <xdr:cNvPr id="179" name="Imagen 178">
          <a:extLst>
            <a:ext uri="{FF2B5EF4-FFF2-40B4-BE49-F238E27FC236}">
              <a16:creationId xmlns:a16="http://schemas.microsoft.com/office/drawing/2014/main" id="{0DAA1F6A-2E03-4E42-ACEC-8EB82B82BC19}"/>
            </a:ext>
          </a:extLst>
        </xdr:cNvPr>
        <xdr:cNvPicPr>
          <a:picLocks noChangeAspect="1"/>
        </xdr:cNvPicPr>
      </xdr:nvPicPr>
      <xdr:blipFill>
        <a:blip xmlns:r="http://schemas.openxmlformats.org/officeDocument/2006/relationships" r:embed="rId76"/>
        <a:stretch>
          <a:fillRect/>
        </a:stretch>
      </xdr:blipFill>
      <xdr:spPr>
        <a:xfrm>
          <a:off x="33617" y="288943676"/>
          <a:ext cx="4818529" cy="4080740"/>
        </a:xfrm>
        <a:prstGeom prst="rect">
          <a:avLst/>
        </a:prstGeom>
      </xdr:spPr>
    </xdr:pic>
    <xdr:clientData/>
  </xdr:twoCellAnchor>
  <xdr:twoCellAnchor editAs="oneCell">
    <xdr:from>
      <xdr:col>5</xdr:col>
      <xdr:colOff>201707</xdr:colOff>
      <xdr:row>97</xdr:row>
      <xdr:rowOff>33616</xdr:rowOff>
    </xdr:from>
    <xdr:to>
      <xdr:col>11</xdr:col>
      <xdr:colOff>324971</xdr:colOff>
      <xdr:row>108</xdr:row>
      <xdr:rowOff>4238</xdr:rowOff>
    </xdr:to>
    <xdr:pic>
      <xdr:nvPicPr>
        <xdr:cNvPr id="181" name="Imagen 180">
          <a:extLst>
            <a:ext uri="{FF2B5EF4-FFF2-40B4-BE49-F238E27FC236}">
              <a16:creationId xmlns:a16="http://schemas.microsoft.com/office/drawing/2014/main" id="{B93EEF24-6FDE-4983-A9F0-6AAB25121C72}"/>
            </a:ext>
          </a:extLst>
        </xdr:cNvPr>
        <xdr:cNvPicPr>
          <a:picLocks noChangeAspect="1"/>
        </xdr:cNvPicPr>
      </xdr:nvPicPr>
      <xdr:blipFill rotWithShape="1">
        <a:blip xmlns:r="http://schemas.openxmlformats.org/officeDocument/2006/relationships" r:embed="rId77"/>
        <a:srcRect t="3416" b="6925"/>
        <a:stretch/>
      </xdr:blipFill>
      <xdr:spPr>
        <a:xfrm>
          <a:off x="4885766" y="24339175"/>
          <a:ext cx="4291852" cy="2435916"/>
        </a:xfrm>
        <a:prstGeom prst="rect">
          <a:avLst/>
        </a:prstGeom>
      </xdr:spPr>
    </xdr:pic>
    <xdr:clientData/>
  </xdr:twoCellAnchor>
  <xdr:twoCellAnchor editAs="oneCell">
    <xdr:from>
      <xdr:col>0</xdr:col>
      <xdr:colOff>302560</xdr:colOff>
      <xdr:row>114</xdr:row>
      <xdr:rowOff>112060</xdr:rowOff>
    </xdr:from>
    <xdr:to>
      <xdr:col>2</xdr:col>
      <xdr:colOff>649941</xdr:colOff>
      <xdr:row>126</xdr:row>
      <xdr:rowOff>4282</xdr:rowOff>
    </xdr:to>
    <xdr:pic>
      <xdr:nvPicPr>
        <xdr:cNvPr id="182" name="Imagen 181">
          <a:extLst>
            <a:ext uri="{FF2B5EF4-FFF2-40B4-BE49-F238E27FC236}">
              <a16:creationId xmlns:a16="http://schemas.microsoft.com/office/drawing/2014/main" id="{20E441F0-FEF0-48CF-9AD6-07FC598CEFBF}"/>
            </a:ext>
          </a:extLst>
        </xdr:cNvPr>
        <xdr:cNvPicPr>
          <a:picLocks noChangeAspect="1"/>
        </xdr:cNvPicPr>
      </xdr:nvPicPr>
      <xdr:blipFill>
        <a:blip xmlns:r="http://schemas.openxmlformats.org/officeDocument/2006/relationships" r:embed="rId78"/>
        <a:stretch>
          <a:fillRect/>
        </a:stretch>
      </xdr:blipFill>
      <xdr:spPr>
        <a:xfrm>
          <a:off x="302560" y="28227619"/>
          <a:ext cx="2431675" cy="2581634"/>
        </a:xfrm>
        <a:prstGeom prst="rect">
          <a:avLst/>
        </a:prstGeom>
      </xdr:spPr>
    </xdr:pic>
    <xdr:clientData/>
  </xdr:twoCellAnchor>
  <xdr:twoCellAnchor editAs="oneCell">
    <xdr:from>
      <xdr:col>2</xdr:col>
      <xdr:colOff>728382</xdr:colOff>
      <xdr:row>108</xdr:row>
      <xdr:rowOff>11206</xdr:rowOff>
    </xdr:from>
    <xdr:to>
      <xdr:col>8</xdr:col>
      <xdr:colOff>72724</xdr:colOff>
      <xdr:row>124</xdr:row>
      <xdr:rowOff>100852</xdr:rowOff>
    </xdr:to>
    <xdr:pic>
      <xdr:nvPicPr>
        <xdr:cNvPr id="183" name="Imagen 182">
          <a:extLst>
            <a:ext uri="{FF2B5EF4-FFF2-40B4-BE49-F238E27FC236}">
              <a16:creationId xmlns:a16="http://schemas.microsoft.com/office/drawing/2014/main" id="{9F20AF12-4DDB-44C4-BA3E-1D154FDA353E}"/>
            </a:ext>
          </a:extLst>
        </xdr:cNvPr>
        <xdr:cNvPicPr>
          <a:picLocks noChangeAspect="1"/>
        </xdr:cNvPicPr>
      </xdr:nvPicPr>
      <xdr:blipFill rotWithShape="1">
        <a:blip xmlns:r="http://schemas.openxmlformats.org/officeDocument/2006/relationships" r:embed="rId79"/>
        <a:srcRect l="5626" t="3828"/>
        <a:stretch/>
      </xdr:blipFill>
      <xdr:spPr>
        <a:xfrm>
          <a:off x="2812676" y="26782059"/>
          <a:ext cx="3759460" cy="3675528"/>
        </a:xfrm>
        <a:prstGeom prst="rect">
          <a:avLst/>
        </a:prstGeom>
      </xdr:spPr>
    </xdr:pic>
    <xdr:clientData/>
  </xdr:twoCellAnchor>
  <xdr:twoCellAnchor editAs="oneCell">
    <xdr:from>
      <xdr:col>0</xdr:col>
      <xdr:colOff>291356</xdr:colOff>
      <xdr:row>102</xdr:row>
      <xdr:rowOff>78440</xdr:rowOff>
    </xdr:from>
    <xdr:to>
      <xdr:col>2</xdr:col>
      <xdr:colOff>660092</xdr:colOff>
      <xdr:row>114</xdr:row>
      <xdr:rowOff>44823</xdr:rowOff>
    </xdr:to>
    <xdr:pic>
      <xdr:nvPicPr>
        <xdr:cNvPr id="180" name="Imagen 179">
          <a:extLst>
            <a:ext uri="{FF2B5EF4-FFF2-40B4-BE49-F238E27FC236}">
              <a16:creationId xmlns:a16="http://schemas.microsoft.com/office/drawing/2014/main" id="{C8B40993-2548-4102-A781-B1FBA199DE8F}"/>
            </a:ext>
          </a:extLst>
        </xdr:cNvPr>
        <xdr:cNvPicPr>
          <a:picLocks noChangeAspect="1"/>
        </xdr:cNvPicPr>
      </xdr:nvPicPr>
      <xdr:blipFill rotWithShape="1">
        <a:blip xmlns:r="http://schemas.openxmlformats.org/officeDocument/2006/relationships" r:embed="rId80"/>
        <a:srcRect l="5826" t="1563"/>
        <a:stretch/>
      </xdr:blipFill>
      <xdr:spPr>
        <a:xfrm>
          <a:off x="291356" y="25504587"/>
          <a:ext cx="2453030" cy="2655796"/>
        </a:xfrm>
        <a:prstGeom prst="rect">
          <a:avLst/>
        </a:prstGeom>
      </xdr:spPr>
    </xdr:pic>
    <xdr:clientData/>
  </xdr:twoCellAnchor>
  <xdr:twoCellAnchor editAs="oneCell">
    <xdr:from>
      <xdr:col>8</xdr:col>
      <xdr:colOff>156882</xdr:colOff>
      <xdr:row>109</xdr:row>
      <xdr:rowOff>78439</xdr:rowOff>
    </xdr:from>
    <xdr:to>
      <xdr:col>12</xdr:col>
      <xdr:colOff>487944</xdr:colOff>
      <xdr:row>124</xdr:row>
      <xdr:rowOff>20449</xdr:rowOff>
    </xdr:to>
    <xdr:pic>
      <xdr:nvPicPr>
        <xdr:cNvPr id="184" name="Imagen 183">
          <a:extLst>
            <a:ext uri="{FF2B5EF4-FFF2-40B4-BE49-F238E27FC236}">
              <a16:creationId xmlns:a16="http://schemas.microsoft.com/office/drawing/2014/main" id="{80DCBBEA-7433-43F1-8744-E7F98F66B7CE}"/>
            </a:ext>
          </a:extLst>
        </xdr:cNvPr>
        <xdr:cNvPicPr>
          <a:picLocks noChangeAspect="1"/>
        </xdr:cNvPicPr>
      </xdr:nvPicPr>
      <xdr:blipFill rotWithShape="1">
        <a:blip xmlns:r="http://schemas.openxmlformats.org/officeDocument/2006/relationships" r:embed="rId81"/>
        <a:srcRect l="5496" t="6302"/>
        <a:stretch/>
      </xdr:blipFill>
      <xdr:spPr>
        <a:xfrm>
          <a:off x="6656294" y="27073410"/>
          <a:ext cx="3311826" cy="3303773"/>
        </a:xfrm>
        <a:prstGeom prst="rect">
          <a:avLst/>
        </a:prstGeom>
      </xdr:spPr>
    </xdr:pic>
    <xdr:clientData/>
  </xdr:twoCellAnchor>
  <xdr:twoCellAnchor editAs="oneCell">
    <xdr:from>
      <xdr:col>0</xdr:col>
      <xdr:colOff>67235</xdr:colOff>
      <xdr:row>260</xdr:row>
      <xdr:rowOff>33617</xdr:rowOff>
    </xdr:from>
    <xdr:to>
      <xdr:col>4</xdr:col>
      <xdr:colOff>470646</xdr:colOff>
      <xdr:row>278</xdr:row>
      <xdr:rowOff>24218</xdr:rowOff>
    </xdr:to>
    <xdr:pic>
      <xdr:nvPicPr>
        <xdr:cNvPr id="185" name="Imagen 184">
          <a:extLst>
            <a:ext uri="{FF2B5EF4-FFF2-40B4-BE49-F238E27FC236}">
              <a16:creationId xmlns:a16="http://schemas.microsoft.com/office/drawing/2014/main" id="{7AC8E450-9678-49CF-B4F5-8A7833968B23}"/>
            </a:ext>
          </a:extLst>
        </xdr:cNvPr>
        <xdr:cNvPicPr>
          <a:picLocks noChangeAspect="1"/>
        </xdr:cNvPicPr>
      </xdr:nvPicPr>
      <xdr:blipFill rotWithShape="1">
        <a:blip xmlns:r="http://schemas.openxmlformats.org/officeDocument/2006/relationships" r:embed="rId82"/>
        <a:srcRect l="2580" t="5321"/>
        <a:stretch/>
      </xdr:blipFill>
      <xdr:spPr>
        <a:xfrm>
          <a:off x="67235" y="60982411"/>
          <a:ext cx="4392705" cy="4024719"/>
        </a:xfrm>
        <a:prstGeom prst="rect">
          <a:avLst/>
        </a:prstGeom>
      </xdr:spPr>
    </xdr:pic>
    <xdr:clientData/>
  </xdr:twoCellAnchor>
  <xdr:twoCellAnchor editAs="oneCell">
    <xdr:from>
      <xdr:col>6</xdr:col>
      <xdr:colOff>22413</xdr:colOff>
      <xdr:row>260</xdr:row>
      <xdr:rowOff>67236</xdr:rowOff>
    </xdr:from>
    <xdr:to>
      <xdr:col>11</xdr:col>
      <xdr:colOff>340959</xdr:colOff>
      <xdr:row>278</xdr:row>
      <xdr:rowOff>78441</xdr:rowOff>
    </xdr:to>
    <xdr:pic>
      <xdr:nvPicPr>
        <xdr:cNvPr id="186" name="Imagen 185">
          <a:extLst>
            <a:ext uri="{FF2B5EF4-FFF2-40B4-BE49-F238E27FC236}">
              <a16:creationId xmlns:a16="http://schemas.microsoft.com/office/drawing/2014/main" id="{F149157A-0E64-495F-B111-E0EEBBD56498}"/>
            </a:ext>
          </a:extLst>
        </xdr:cNvPr>
        <xdr:cNvPicPr>
          <a:picLocks noChangeAspect="1"/>
        </xdr:cNvPicPr>
      </xdr:nvPicPr>
      <xdr:blipFill>
        <a:blip xmlns:r="http://schemas.openxmlformats.org/officeDocument/2006/relationships" r:embed="rId83"/>
        <a:stretch>
          <a:fillRect/>
        </a:stretch>
      </xdr:blipFill>
      <xdr:spPr>
        <a:xfrm>
          <a:off x="5434854" y="61016030"/>
          <a:ext cx="3758752" cy="4045323"/>
        </a:xfrm>
        <a:prstGeom prst="rect">
          <a:avLst/>
        </a:prstGeom>
      </xdr:spPr>
    </xdr:pic>
    <xdr:clientData/>
  </xdr:twoCellAnchor>
  <xdr:twoCellAnchor editAs="oneCell">
    <xdr:from>
      <xdr:col>0</xdr:col>
      <xdr:colOff>156882</xdr:colOff>
      <xdr:row>355</xdr:row>
      <xdr:rowOff>0</xdr:rowOff>
    </xdr:from>
    <xdr:to>
      <xdr:col>3</xdr:col>
      <xdr:colOff>705970</xdr:colOff>
      <xdr:row>373</xdr:row>
      <xdr:rowOff>153017</xdr:rowOff>
    </xdr:to>
    <xdr:pic>
      <xdr:nvPicPr>
        <xdr:cNvPr id="187" name="Imagen 186">
          <a:extLst>
            <a:ext uri="{FF2B5EF4-FFF2-40B4-BE49-F238E27FC236}">
              <a16:creationId xmlns:a16="http://schemas.microsoft.com/office/drawing/2014/main" id="{22F9BA87-CD3E-4BAD-8030-4C7DA6059810}"/>
            </a:ext>
          </a:extLst>
        </xdr:cNvPr>
        <xdr:cNvPicPr>
          <a:picLocks noChangeAspect="1"/>
        </xdr:cNvPicPr>
      </xdr:nvPicPr>
      <xdr:blipFill>
        <a:blip xmlns:r="http://schemas.openxmlformats.org/officeDocument/2006/relationships" r:embed="rId84"/>
        <a:stretch>
          <a:fillRect/>
        </a:stretch>
      </xdr:blipFill>
      <xdr:spPr>
        <a:xfrm>
          <a:off x="156882" y="82183941"/>
          <a:ext cx="3641912" cy="3873369"/>
        </a:xfrm>
        <a:prstGeom prst="rect">
          <a:avLst/>
        </a:prstGeom>
      </xdr:spPr>
    </xdr:pic>
    <xdr:clientData/>
  </xdr:twoCellAnchor>
  <xdr:twoCellAnchor editAs="oneCell">
    <xdr:from>
      <xdr:col>3</xdr:col>
      <xdr:colOff>784411</xdr:colOff>
      <xdr:row>356</xdr:row>
      <xdr:rowOff>190499</xdr:rowOff>
    </xdr:from>
    <xdr:to>
      <xdr:col>12</xdr:col>
      <xdr:colOff>461217</xdr:colOff>
      <xdr:row>369</xdr:row>
      <xdr:rowOff>116721</xdr:rowOff>
    </xdr:to>
    <xdr:pic>
      <xdr:nvPicPr>
        <xdr:cNvPr id="188" name="Imagen 187">
          <a:extLst>
            <a:ext uri="{FF2B5EF4-FFF2-40B4-BE49-F238E27FC236}">
              <a16:creationId xmlns:a16="http://schemas.microsoft.com/office/drawing/2014/main" id="{B2BCB47C-4308-4926-BCC8-420BDA216DEB}"/>
            </a:ext>
          </a:extLst>
        </xdr:cNvPr>
        <xdr:cNvPicPr>
          <a:picLocks noChangeAspect="1"/>
        </xdr:cNvPicPr>
      </xdr:nvPicPr>
      <xdr:blipFill rotWithShape="1">
        <a:blip xmlns:r="http://schemas.openxmlformats.org/officeDocument/2006/relationships" r:embed="rId85"/>
        <a:srcRect l="2719" r="1812"/>
        <a:stretch/>
      </xdr:blipFill>
      <xdr:spPr>
        <a:xfrm>
          <a:off x="3877235" y="82598558"/>
          <a:ext cx="6064158" cy="2705281"/>
        </a:xfrm>
        <a:prstGeom prst="rect">
          <a:avLst/>
        </a:prstGeom>
      </xdr:spPr>
    </xdr:pic>
    <xdr:clientData/>
  </xdr:twoCellAnchor>
  <xdr:twoCellAnchor editAs="oneCell">
    <xdr:from>
      <xdr:col>6</xdr:col>
      <xdr:colOff>56030</xdr:colOff>
      <xdr:row>454</xdr:row>
      <xdr:rowOff>22412</xdr:rowOff>
    </xdr:from>
    <xdr:to>
      <xdr:col>11</xdr:col>
      <xdr:colOff>284734</xdr:colOff>
      <xdr:row>472</xdr:row>
      <xdr:rowOff>11206</xdr:rowOff>
    </xdr:to>
    <xdr:pic>
      <xdr:nvPicPr>
        <xdr:cNvPr id="189" name="Imagen 188">
          <a:extLst>
            <a:ext uri="{FF2B5EF4-FFF2-40B4-BE49-F238E27FC236}">
              <a16:creationId xmlns:a16="http://schemas.microsoft.com/office/drawing/2014/main" id="{22956491-4C6F-42C9-A652-9A92624A5339}"/>
            </a:ext>
          </a:extLst>
        </xdr:cNvPr>
        <xdr:cNvPicPr>
          <a:picLocks noChangeAspect="1"/>
        </xdr:cNvPicPr>
      </xdr:nvPicPr>
      <xdr:blipFill rotWithShape="1">
        <a:blip xmlns:r="http://schemas.openxmlformats.org/officeDocument/2006/relationships" r:embed="rId86"/>
        <a:srcRect l="7982" r="4529"/>
        <a:stretch/>
      </xdr:blipFill>
      <xdr:spPr>
        <a:xfrm>
          <a:off x="5468471" y="104035412"/>
          <a:ext cx="3668910" cy="4022912"/>
        </a:xfrm>
        <a:prstGeom prst="rect">
          <a:avLst/>
        </a:prstGeom>
      </xdr:spPr>
    </xdr:pic>
    <xdr:clientData/>
  </xdr:twoCellAnchor>
  <xdr:twoCellAnchor editAs="oneCell">
    <xdr:from>
      <xdr:col>0</xdr:col>
      <xdr:colOff>89649</xdr:colOff>
      <xdr:row>454</xdr:row>
      <xdr:rowOff>33619</xdr:rowOff>
    </xdr:from>
    <xdr:to>
      <xdr:col>5</xdr:col>
      <xdr:colOff>134470</xdr:colOff>
      <xdr:row>472</xdr:row>
      <xdr:rowOff>2130</xdr:rowOff>
    </xdr:to>
    <xdr:pic>
      <xdr:nvPicPr>
        <xdr:cNvPr id="190" name="Imagen 189">
          <a:extLst>
            <a:ext uri="{FF2B5EF4-FFF2-40B4-BE49-F238E27FC236}">
              <a16:creationId xmlns:a16="http://schemas.microsoft.com/office/drawing/2014/main" id="{AD01716E-52B2-4543-8EE1-5144B504B9DA}"/>
            </a:ext>
          </a:extLst>
        </xdr:cNvPr>
        <xdr:cNvPicPr>
          <a:picLocks noChangeAspect="1"/>
        </xdr:cNvPicPr>
      </xdr:nvPicPr>
      <xdr:blipFill>
        <a:blip xmlns:r="http://schemas.openxmlformats.org/officeDocument/2006/relationships" r:embed="rId87"/>
        <a:stretch>
          <a:fillRect/>
        </a:stretch>
      </xdr:blipFill>
      <xdr:spPr>
        <a:xfrm>
          <a:off x="89649" y="104046619"/>
          <a:ext cx="4728880" cy="3986329"/>
        </a:xfrm>
        <a:prstGeom prst="rect">
          <a:avLst/>
        </a:prstGeom>
      </xdr:spPr>
    </xdr:pic>
    <xdr:clientData/>
  </xdr:twoCellAnchor>
  <xdr:twoCellAnchor editAs="oneCell">
    <xdr:from>
      <xdr:col>0</xdr:col>
      <xdr:colOff>190499</xdr:colOff>
      <xdr:row>491</xdr:row>
      <xdr:rowOff>212912</xdr:rowOff>
    </xdr:from>
    <xdr:to>
      <xdr:col>5</xdr:col>
      <xdr:colOff>380999</xdr:colOff>
      <xdr:row>511</xdr:row>
      <xdr:rowOff>128658</xdr:rowOff>
    </xdr:to>
    <xdr:pic>
      <xdr:nvPicPr>
        <xdr:cNvPr id="191" name="Imagen 190">
          <a:extLst>
            <a:ext uri="{FF2B5EF4-FFF2-40B4-BE49-F238E27FC236}">
              <a16:creationId xmlns:a16="http://schemas.microsoft.com/office/drawing/2014/main" id="{AD59D084-E87A-4BC0-B822-FFA9BC4FA356}"/>
            </a:ext>
          </a:extLst>
        </xdr:cNvPr>
        <xdr:cNvPicPr>
          <a:picLocks noChangeAspect="1"/>
        </xdr:cNvPicPr>
      </xdr:nvPicPr>
      <xdr:blipFill rotWithShape="1">
        <a:blip xmlns:r="http://schemas.openxmlformats.org/officeDocument/2006/relationships" r:embed="rId88"/>
        <a:srcRect l="1317" t="8858" r="1363" b="2563"/>
        <a:stretch/>
      </xdr:blipFill>
      <xdr:spPr>
        <a:xfrm>
          <a:off x="190499" y="112518265"/>
          <a:ext cx="4874559" cy="4398098"/>
        </a:xfrm>
        <a:prstGeom prst="rect">
          <a:avLst/>
        </a:prstGeom>
      </xdr:spPr>
    </xdr:pic>
    <xdr:clientData/>
  </xdr:twoCellAnchor>
  <xdr:twoCellAnchor editAs="oneCell">
    <xdr:from>
      <xdr:col>5</xdr:col>
      <xdr:colOff>593912</xdr:colOff>
      <xdr:row>491</xdr:row>
      <xdr:rowOff>212912</xdr:rowOff>
    </xdr:from>
    <xdr:to>
      <xdr:col>12</xdr:col>
      <xdr:colOff>437031</xdr:colOff>
      <xdr:row>511</xdr:row>
      <xdr:rowOff>77486</xdr:rowOff>
    </xdr:to>
    <xdr:pic>
      <xdr:nvPicPr>
        <xdr:cNvPr id="9280" name="Imagen 9279">
          <a:extLst>
            <a:ext uri="{FF2B5EF4-FFF2-40B4-BE49-F238E27FC236}">
              <a16:creationId xmlns:a16="http://schemas.microsoft.com/office/drawing/2014/main" id="{CA7D0006-6B60-4D3F-8E70-BE1574566DB5}"/>
            </a:ext>
          </a:extLst>
        </xdr:cNvPr>
        <xdr:cNvPicPr>
          <a:picLocks noChangeAspect="1"/>
        </xdr:cNvPicPr>
      </xdr:nvPicPr>
      <xdr:blipFill rotWithShape="1">
        <a:blip xmlns:r="http://schemas.openxmlformats.org/officeDocument/2006/relationships" r:embed="rId89"/>
        <a:srcRect l="10431" t="2321"/>
        <a:stretch/>
      </xdr:blipFill>
      <xdr:spPr>
        <a:xfrm>
          <a:off x="5277971" y="112518265"/>
          <a:ext cx="4639236" cy="4346926"/>
        </a:xfrm>
        <a:prstGeom prst="rect">
          <a:avLst/>
        </a:prstGeom>
      </xdr:spPr>
    </xdr:pic>
    <xdr:clientData/>
  </xdr:twoCellAnchor>
  <xdr:twoCellAnchor editAs="oneCell">
    <xdr:from>
      <xdr:col>0</xdr:col>
      <xdr:colOff>67238</xdr:colOff>
      <xdr:row>535</xdr:row>
      <xdr:rowOff>33618</xdr:rowOff>
    </xdr:from>
    <xdr:to>
      <xdr:col>4</xdr:col>
      <xdr:colOff>358590</xdr:colOff>
      <xdr:row>554</xdr:row>
      <xdr:rowOff>161925</xdr:rowOff>
    </xdr:to>
    <xdr:pic>
      <xdr:nvPicPr>
        <xdr:cNvPr id="9281" name="Imagen 9280">
          <a:extLst>
            <a:ext uri="{FF2B5EF4-FFF2-40B4-BE49-F238E27FC236}">
              <a16:creationId xmlns:a16="http://schemas.microsoft.com/office/drawing/2014/main" id="{F723E69B-48D9-4B93-9566-B0C15EEF0041}"/>
            </a:ext>
          </a:extLst>
        </xdr:cNvPr>
        <xdr:cNvPicPr>
          <a:picLocks noChangeAspect="1"/>
        </xdr:cNvPicPr>
      </xdr:nvPicPr>
      <xdr:blipFill rotWithShape="1">
        <a:blip xmlns:r="http://schemas.openxmlformats.org/officeDocument/2006/relationships" r:embed="rId90"/>
        <a:srcRect l="7777" t="9443" r="10278" b="475"/>
        <a:stretch/>
      </xdr:blipFill>
      <xdr:spPr>
        <a:xfrm>
          <a:off x="67238" y="118867518"/>
          <a:ext cx="4272802" cy="4290732"/>
        </a:xfrm>
        <a:prstGeom prst="rect">
          <a:avLst/>
        </a:prstGeom>
      </xdr:spPr>
    </xdr:pic>
    <xdr:clientData/>
  </xdr:twoCellAnchor>
  <xdr:twoCellAnchor editAs="oneCell">
    <xdr:from>
      <xdr:col>5</xdr:col>
      <xdr:colOff>235324</xdr:colOff>
      <xdr:row>535</xdr:row>
      <xdr:rowOff>22412</xdr:rowOff>
    </xdr:from>
    <xdr:to>
      <xdr:col>12</xdr:col>
      <xdr:colOff>313765</xdr:colOff>
      <xdr:row>554</xdr:row>
      <xdr:rowOff>171451</xdr:rowOff>
    </xdr:to>
    <xdr:pic>
      <xdr:nvPicPr>
        <xdr:cNvPr id="9282" name="Imagen 9281">
          <a:extLst>
            <a:ext uri="{FF2B5EF4-FFF2-40B4-BE49-F238E27FC236}">
              <a16:creationId xmlns:a16="http://schemas.microsoft.com/office/drawing/2014/main" id="{E32BDE72-182E-4F12-B500-D23152E9EBB7}"/>
            </a:ext>
          </a:extLst>
        </xdr:cNvPr>
        <xdr:cNvPicPr>
          <a:picLocks noChangeAspect="1"/>
        </xdr:cNvPicPr>
      </xdr:nvPicPr>
      <xdr:blipFill>
        <a:blip xmlns:r="http://schemas.openxmlformats.org/officeDocument/2006/relationships" r:embed="rId91"/>
        <a:stretch>
          <a:fillRect/>
        </a:stretch>
      </xdr:blipFill>
      <xdr:spPr>
        <a:xfrm>
          <a:off x="4912099" y="118856312"/>
          <a:ext cx="4879041" cy="4311464"/>
        </a:xfrm>
        <a:prstGeom prst="rect">
          <a:avLst/>
        </a:prstGeom>
      </xdr:spPr>
    </xdr:pic>
    <xdr:clientData/>
  </xdr:twoCellAnchor>
  <xdr:twoCellAnchor editAs="oneCell">
    <xdr:from>
      <xdr:col>2</xdr:col>
      <xdr:colOff>11206</xdr:colOff>
      <xdr:row>559</xdr:row>
      <xdr:rowOff>44822</xdr:rowOff>
    </xdr:from>
    <xdr:to>
      <xdr:col>9</xdr:col>
      <xdr:colOff>437732</xdr:colOff>
      <xdr:row>578</xdr:row>
      <xdr:rowOff>85724</xdr:rowOff>
    </xdr:to>
    <xdr:pic>
      <xdr:nvPicPr>
        <xdr:cNvPr id="43" name="Imagen 42">
          <a:extLst>
            <a:ext uri="{FF2B5EF4-FFF2-40B4-BE49-F238E27FC236}">
              <a16:creationId xmlns:a16="http://schemas.microsoft.com/office/drawing/2014/main" id="{69CB8798-6935-43C2-8BB3-71C252B1DF5B}"/>
            </a:ext>
          </a:extLst>
        </xdr:cNvPr>
        <xdr:cNvPicPr>
          <a:picLocks noChangeAspect="1"/>
        </xdr:cNvPicPr>
      </xdr:nvPicPr>
      <xdr:blipFill rotWithShape="1">
        <a:blip xmlns:r="http://schemas.openxmlformats.org/officeDocument/2006/relationships" r:embed="rId92"/>
        <a:srcRect l="8080" t="959"/>
        <a:stretch/>
      </xdr:blipFill>
      <xdr:spPr>
        <a:xfrm>
          <a:off x="2087656" y="124136522"/>
          <a:ext cx="5684326" cy="4203327"/>
        </a:xfrm>
        <a:prstGeom prst="rect">
          <a:avLst/>
        </a:prstGeom>
      </xdr:spPr>
    </xdr:pic>
    <xdr:clientData/>
  </xdr:twoCellAnchor>
  <xdr:twoCellAnchor editAs="oneCell">
    <xdr:from>
      <xdr:col>1</xdr:col>
      <xdr:colOff>616324</xdr:colOff>
      <xdr:row>582</xdr:row>
      <xdr:rowOff>11207</xdr:rowOff>
    </xdr:from>
    <xdr:to>
      <xdr:col>9</xdr:col>
      <xdr:colOff>168089</xdr:colOff>
      <xdr:row>601</xdr:row>
      <xdr:rowOff>184390</xdr:rowOff>
    </xdr:to>
    <xdr:pic>
      <xdr:nvPicPr>
        <xdr:cNvPr id="49" name="Imagen 48">
          <a:extLst>
            <a:ext uri="{FF2B5EF4-FFF2-40B4-BE49-F238E27FC236}">
              <a16:creationId xmlns:a16="http://schemas.microsoft.com/office/drawing/2014/main" id="{04F9F9AA-FC79-4AD4-B1E7-FA46005B76C2}"/>
            </a:ext>
          </a:extLst>
        </xdr:cNvPr>
        <xdr:cNvPicPr>
          <a:picLocks noChangeAspect="1"/>
        </xdr:cNvPicPr>
      </xdr:nvPicPr>
      <xdr:blipFill>
        <a:blip xmlns:r="http://schemas.openxmlformats.org/officeDocument/2006/relationships" r:embed="rId93"/>
        <a:stretch>
          <a:fillRect/>
        </a:stretch>
      </xdr:blipFill>
      <xdr:spPr>
        <a:xfrm>
          <a:off x="1654549" y="128265332"/>
          <a:ext cx="5847790" cy="4335608"/>
        </a:xfrm>
        <a:prstGeom prst="rect">
          <a:avLst/>
        </a:prstGeom>
      </xdr:spPr>
    </xdr:pic>
    <xdr:clientData/>
  </xdr:twoCellAnchor>
  <xdr:twoCellAnchor editAs="oneCell">
    <xdr:from>
      <xdr:col>0</xdr:col>
      <xdr:colOff>313764</xdr:colOff>
      <xdr:row>643</xdr:row>
      <xdr:rowOff>67235</xdr:rowOff>
    </xdr:from>
    <xdr:to>
      <xdr:col>12</xdr:col>
      <xdr:colOff>176445</xdr:colOff>
      <xdr:row>659</xdr:row>
      <xdr:rowOff>100401</xdr:rowOff>
    </xdr:to>
    <xdr:pic>
      <xdr:nvPicPr>
        <xdr:cNvPr id="51" name="Imagen 50">
          <a:extLst>
            <a:ext uri="{FF2B5EF4-FFF2-40B4-BE49-F238E27FC236}">
              <a16:creationId xmlns:a16="http://schemas.microsoft.com/office/drawing/2014/main" id="{373EE126-867A-4D53-B7CE-0AD060856247}"/>
            </a:ext>
          </a:extLst>
        </xdr:cNvPr>
        <xdr:cNvPicPr>
          <a:picLocks noChangeAspect="1"/>
        </xdr:cNvPicPr>
      </xdr:nvPicPr>
      <xdr:blipFill>
        <a:blip xmlns:r="http://schemas.openxmlformats.org/officeDocument/2006/relationships" r:embed="rId94"/>
        <a:stretch>
          <a:fillRect/>
        </a:stretch>
      </xdr:blipFill>
      <xdr:spPr>
        <a:xfrm>
          <a:off x="313764" y="145990235"/>
          <a:ext cx="9342857" cy="3619048"/>
        </a:xfrm>
        <a:prstGeom prst="rect">
          <a:avLst/>
        </a:prstGeom>
      </xdr:spPr>
    </xdr:pic>
    <xdr:clientData/>
  </xdr:twoCellAnchor>
  <xdr:twoCellAnchor editAs="oneCell">
    <xdr:from>
      <xdr:col>0</xdr:col>
      <xdr:colOff>0</xdr:colOff>
      <xdr:row>1007</xdr:row>
      <xdr:rowOff>33619</xdr:rowOff>
    </xdr:from>
    <xdr:to>
      <xdr:col>5</xdr:col>
      <xdr:colOff>268941</xdr:colOff>
      <xdr:row>1032</xdr:row>
      <xdr:rowOff>123825</xdr:rowOff>
    </xdr:to>
    <xdr:pic>
      <xdr:nvPicPr>
        <xdr:cNvPr id="55" name="Imagen 54">
          <a:extLst>
            <a:ext uri="{FF2B5EF4-FFF2-40B4-BE49-F238E27FC236}">
              <a16:creationId xmlns:a16="http://schemas.microsoft.com/office/drawing/2014/main" id="{EF23B148-E446-48F6-9097-BF2FF69CC487}"/>
            </a:ext>
          </a:extLst>
        </xdr:cNvPr>
        <xdr:cNvPicPr>
          <a:picLocks noChangeAspect="1"/>
        </xdr:cNvPicPr>
      </xdr:nvPicPr>
      <xdr:blipFill rotWithShape="1">
        <a:blip xmlns:r="http://schemas.openxmlformats.org/officeDocument/2006/relationships" r:embed="rId95"/>
        <a:srcRect b="1078"/>
        <a:stretch/>
      </xdr:blipFill>
      <xdr:spPr>
        <a:xfrm>
          <a:off x="0" y="222013744"/>
          <a:ext cx="4945716" cy="4614581"/>
        </a:xfrm>
        <a:prstGeom prst="rect">
          <a:avLst/>
        </a:prstGeom>
      </xdr:spPr>
    </xdr:pic>
    <xdr:clientData/>
  </xdr:twoCellAnchor>
  <xdr:twoCellAnchor editAs="oneCell">
    <xdr:from>
      <xdr:col>5</xdr:col>
      <xdr:colOff>324971</xdr:colOff>
      <xdr:row>1007</xdr:row>
      <xdr:rowOff>22411</xdr:rowOff>
    </xdr:from>
    <xdr:to>
      <xdr:col>12</xdr:col>
      <xdr:colOff>459442</xdr:colOff>
      <xdr:row>1032</xdr:row>
      <xdr:rowOff>104775</xdr:rowOff>
    </xdr:to>
    <xdr:pic>
      <xdr:nvPicPr>
        <xdr:cNvPr id="56" name="Imagen 55">
          <a:extLst>
            <a:ext uri="{FF2B5EF4-FFF2-40B4-BE49-F238E27FC236}">
              <a16:creationId xmlns:a16="http://schemas.microsoft.com/office/drawing/2014/main" id="{97F32DEB-1757-43D2-A1B9-2AB93A94F573}"/>
            </a:ext>
          </a:extLst>
        </xdr:cNvPr>
        <xdr:cNvPicPr>
          <a:picLocks noChangeAspect="1"/>
        </xdr:cNvPicPr>
      </xdr:nvPicPr>
      <xdr:blipFill rotWithShape="1">
        <a:blip xmlns:r="http://schemas.openxmlformats.org/officeDocument/2006/relationships" r:embed="rId96"/>
        <a:srcRect t="10132" r="74782" b="3038"/>
        <a:stretch/>
      </xdr:blipFill>
      <xdr:spPr>
        <a:xfrm>
          <a:off x="5001746" y="222002536"/>
          <a:ext cx="4935071" cy="4606739"/>
        </a:xfrm>
        <a:prstGeom prst="rect">
          <a:avLst/>
        </a:prstGeom>
      </xdr:spPr>
    </xdr:pic>
    <xdr:clientData/>
  </xdr:twoCellAnchor>
  <xdr:twoCellAnchor editAs="oneCell">
    <xdr:from>
      <xdr:col>0</xdr:col>
      <xdr:colOff>0</xdr:colOff>
      <xdr:row>1070</xdr:row>
      <xdr:rowOff>11207</xdr:rowOff>
    </xdr:from>
    <xdr:to>
      <xdr:col>5</xdr:col>
      <xdr:colOff>244577</xdr:colOff>
      <xdr:row>1091</xdr:row>
      <xdr:rowOff>89646</xdr:rowOff>
    </xdr:to>
    <xdr:pic>
      <xdr:nvPicPr>
        <xdr:cNvPr id="58" name="Imagen 57">
          <a:extLst>
            <a:ext uri="{FF2B5EF4-FFF2-40B4-BE49-F238E27FC236}">
              <a16:creationId xmlns:a16="http://schemas.microsoft.com/office/drawing/2014/main" id="{4736222B-28D5-4942-BDAF-59341E1841D2}"/>
            </a:ext>
          </a:extLst>
        </xdr:cNvPr>
        <xdr:cNvPicPr>
          <a:picLocks noChangeAspect="1"/>
        </xdr:cNvPicPr>
      </xdr:nvPicPr>
      <xdr:blipFill rotWithShape="1">
        <a:blip xmlns:r="http://schemas.openxmlformats.org/officeDocument/2006/relationships" r:embed="rId97"/>
        <a:srcRect t="10024" r="74782" b="2929"/>
        <a:stretch/>
      </xdr:blipFill>
      <xdr:spPr>
        <a:xfrm>
          <a:off x="0" y="246271678"/>
          <a:ext cx="4928636" cy="4784909"/>
        </a:xfrm>
        <a:prstGeom prst="rect">
          <a:avLst/>
        </a:prstGeom>
      </xdr:spPr>
    </xdr:pic>
    <xdr:clientData/>
  </xdr:twoCellAnchor>
  <xdr:twoCellAnchor editAs="oneCell">
    <xdr:from>
      <xdr:col>5</xdr:col>
      <xdr:colOff>268941</xdr:colOff>
      <xdr:row>1070</xdr:row>
      <xdr:rowOff>11207</xdr:rowOff>
    </xdr:from>
    <xdr:to>
      <xdr:col>12</xdr:col>
      <xdr:colOff>485224</xdr:colOff>
      <xdr:row>1091</xdr:row>
      <xdr:rowOff>37318</xdr:rowOff>
    </xdr:to>
    <xdr:pic>
      <xdr:nvPicPr>
        <xdr:cNvPr id="66" name="Imagen 65">
          <a:extLst>
            <a:ext uri="{FF2B5EF4-FFF2-40B4-BE49-F238E27FC236}">
              <a16:creationId xmlns:a16="http://schemas.microsoft.com/office/drawing/2014/main" id="{B10F09D8-E14A-4305-8DBA-3ADFC392411C}"/>
            </a:ext>
          </a:extLst>
        </xdr:cNvPr>
        <xdr:cNvPicPr>
          <a:picLocks noChangeAspect="1"/>
        </xdr:cNvPicPr>
      </xdr:nvPicPr>
      <xdr:blipFill rotWithShape="1">
        <a:blip xmlns:r="http://schemas.openxmlformats.org/officeDocument/2006/relationships" r:embed="rId98"/>
        <a:srcRect t="10241" r="74752" b="4999"/>
        <a:stretch/>
      </xdr:blipFill>
      <xdr:spPr>
        <a:xfrm>
          <a:off x="4953000" y="246271678"/>
          <a:ext cx="5012400" cy="4732581"/>
        </a:xfrm>
        <a:prstGeom prst="rect">
          <a:avLst/>
        </a:prstGeom>
      </xdr:spPr>
    </xdr:pic>
    <xdr:clientData/>
  </xdr:twoCellAnchor>
  <xdr:twoCellAnchor editAs="oneCell">
    <xdr:from>
      <xdr:col>5</xdr:col>
      <xdr:colOff>356721</xdr:colOff>
      <xdr:row>1130</xdr:row>
      <xdr:rowOff>145680</xdr:rowOff>
    </xdr:from>
    <xdr:to>
      <xdr:col>12</xdr:col>
      <xdr:colOff>371972</xdr:colOff>
      <xdr:row>1152</xdr:row>
      <xdr:rowOff>112059</xdr:rowOff>
    </xdr:to>
    <xdr:pic>
      <xdr:nvPicPr>
        <xdr:cNvPr id="76" name="Imagen 75">
          <a:extLst>
            <a:ext uri="{FF2B5EF4-FFF2-40B4-BE49-F238E27FC236}">
              <a16:creationId xmlns:a16="http://schemas.microsoft.com/office/drawing/2014/main" id="{0387A0D7-B1D8-4D72-8650-B231C7AB4B56}"/>
            </a:ext>
          </a:extLst>
        </xdr:cNvPr>
        <xdr:cNvPicPr>
          <a:picLocks noChangeAspect="1"/>
        </xdr:cNvPicPr>
      </xdr:nvPicPr>
      <xdr:blipFill rotWithShape="1">
        <a:blip xmlns:r="http://schemas.openxmlformats.org/officeDocument/2006/relationships" r:embed="rId99"/>
        <a:srcRect l="122" t="10024" r="74752" b="11536"/>
        <a:stretch/>
      </xdr:blipFill>
      <xdr:spPr>
        <a:xfrm>
          <a:off x="5040780" y="260525562"/>
          <a:ext cx="4811368" cy="4224615"/>
        </a:xfrm>
        <a:prstGeom prst="rect">
          <a:avLst/>
        </a:prstGeom>
      </xdr:spPr>
    </xdr:pic>
    <xdr:clientData/>
  </xdr:twoCellAnchor>
  <xdr:twoCellAnchor editAs="oneCell">
    <xdr:from>
      <xdr:col>0</xdr:col>
      <xdr:colOff>67236</xdr:colOff>
      <xdr:row>1130</xdr:row>
      <xdr:rowOff>156882</xdr:rowOff>
    </xdr:from>
    <xdr:to>
      <xdr:col>5</xdr:col>
      <xdr:colOff>179295</xdr:colOff>
      <xdr:row>1153</xdr:row>
      <xdr:rowOff>2771</xdr:rowOff>
    </xdr:to>
    <xdr:pic>
      <xdr:nvPicPr>
        <xdr:cNvPr id="78" name="Imagen 77">
          <a:extLst>
            <a:ext uri="{FF2B5EF4-FFF2-40B4-BE49-F238E27FC236}">
              <a16:creationId xmlns:a16="http://schemas.microsoft.com/office/drawing/2014/main" id="{EAFE0BF4-C3B4-4360-9897-5F8D8ADA3E07}"/>
            </a:ext>
          </a:extLst>
        </xdr:cNvPr>
        <xdr:cNvPicPr>
          <a:picLocks noChangeAspect="1"/>
        </xdr:cNvPicPr>
      </xdr:nvPicPr>
      <xdr:blipFill rotWithShape="1">
        <a:blip xmlns:r="http://schemas.openxmlformats.org/officeDocument/2006/relationships" r:embed="rId100"/>
        <a:srcRect t="10023" r="74660" b="9575"/>
        <a:stretch/>
      </xdr:blipFill>
      <xdr:spPr>
        <a:xfrm>
          <a:off x="67236" y="260536764"/>
          <a:ext cx="4796118" cy="4279971"/>
        </a:xfrm>
        <a:prstGeom prst="rect">
          <a:avLst/>
        </a:prstGeom>
      </xdr:spPr>
    </xdr:pic>
    <xdr:clientData/>
  </xdr:twoCellAnchor>
  <xdr:twoCellAnchor editAs="oneCell">
    <xdr:from>
      <xdr:col>0</xdr:col>
      <xdr:colOff>62408</xdr:colOff>
      <xdr:row>1299</xdr:row>
      <xdr:rowOff>66675</xdr:rowOff>
    </xdr:from>
    <xdr:to>
      <xdr:col>12</xdr:col>
      <xdr:colOff>501119</xdr:colOff>
      <xdr:row>1323</xdr:row>
      <xdr:rowOff>161808</xdr:rowOff>
    </xdr:to>
    <xdr:pic>
      <xdr:nvPicPr>
        <xdr:cNvPr id="177" name="Imagen 176">
          <a:extLst>
            <a:ext uri="{FF2B5EF4-FFF2-40B4-BE49-F238E27FC236}">
              <a16:creationId xmlns:a16="http://schemas.microsoft.com/office/drawing/2014/main" id="{3F73FEF5-3B3B-4ECE-BF4B-645BC1DBAB70}"/>
            </a:ext>
          </a:extLst>
        </xdr:cNvPr>
        <xdr:cNvPicPr>
          <a:picLocks noChangeAspect="1" noChangeArrowheads="1"/>
        </xdr:cNvPicPr>
      </xdr:nvPicPr>
      <xdr:blipFill rotWithShape="1">
        <a:blip xmlns:r="http://schemas.openxmlformats.org/officeDocument/2006/relationships" r:embed="rId101">
          <a:lum bright="-78000" contrast="28000"/>
          <a:extLst>
            <a:ext uri="{28A0092B-C50C-407E-A947-70E740481C1C}">
              <a14:useLocalDpi xmlns:a14="http://schemas.microsoft.com/office/drawing/2010/main" val="0"/>
            </a:ext>
          </a:extLst>
        </a:blip>
        <a:srcRect l="19942" t="16579" r="40547" b="37887"/>
        <a:stretch/>
      </xdr:blipFill>
      <xdr:spPr bwMode="auto">
        <a:xfrm>
          <a:off x="62408" y="280377900"/>
          <a:ext cx="9916086" cy="443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112057</xdr:colOff>
      <xdr:row>1321</xdr:row>
      <xdr:rowOff>22413</xdr:rowOff>
    </xdr:from>
    <xdr:to>
      <xdr:col>9</xdr:col>
      <xdr:colOff>369794</xdr:colOff>
      <xdr:row>1347</xdr:row>
      <xdr:rowOff>92861</xdr:rowOff>
    </xdr:to>
    <xdr:pic>
      <xdr:nvPicPr>
        <xdr:cNvPr id="192" name="Imagen 191">
          <a:extLst>
            <a:ext uri="{FF2B5EF4-FFF2-40B4-BE49-F238E27FC236}">
              <a16:creationId xmlns:a16="http://schemas.microsoft.com/office/drawing/2014/main" id="{1FF20915-E2FC-4A3F-9729-7BE5607FDEA1}"/>
            </a:ext>
          </a:extLst>
        </xdr:cNvPr>
        <xdr:cNvPicPr>
          <a:picLocks noChangeAspect="1" noChangeArrowheads="1"/>
        </xdr:cNvPicPr>
      </xdr:nvPicPr>
      <xdr:blipFill rotWithShape="1">
        <a:blip xmlns:r="http://schemas.openxmlformats.org/officeDocument/2006/relationships" r:embed="rId102">
          <a:lum bright="-100000" contrast="21000"/>
          <a:extLst>
            <a:ext uri="{28A0092B-C50C-407E-A947-70E740481C1C}">
              <a14:useLocalDpi xmlns:a14="http://schemas.microsoft.com/office/drawing/2010/main" val="0"/>
            </a:ext>
          </a:extLst>
        </a:blip>
        <a:srcRect l="33730" t="16814" r="37585" b="21657"/>
        <a:stretch/>
      </xdr:blipFill>
      <xdr:spPr bwMode="auto">
        <a:xfrm>
          <a:off x="2196351" y="297695472"/>
          <a:ext cx="5513296" cy="4732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457201</xdr:colOff>
      <xdr:row>12</xdr:row>
      <xdr:rowOff>98719</xdr:rowOff>
    </xdr:from>
    <xdr:to>
      <xdr:col>12</xdr:col>
      <xdr:colOff>110836</xdr:colOff>
      <xdr:row>36</xdr:row>
      <xdr:rowOff>41564</xdr:rowOff>
    </xdr:to>
    <xdr:pic>
      <xdr:nvPicPr>
        <xdr:cNvPr id="163" name="Imagen 162">
          <a:extLst>
            <a:ext uri="{FF2B5EF4-FFF2-40B4-BE49-F238E27FC236}">
              <a16:creationId xmlns:a16="http://schemas.microsoft.com/office/drawing/2014/main" id="{E5E62267-A48F-491B-BBF5-1DD9E939CDAD}"/>
            </a:ext>
          </a:extLst>
        </xdr:cNvPr>
        <xdr:cNvPicPr>
          <a:picLocks noChangeAspect="1" noChangeArrowheads="1"/>
        </xdr:cNvPicPr>
      </xdr:nvPicPr>
      <xdr:blipFill rotWithShape="1">
        <a:blip xmlns:r="http://schemas.openxmlformats.org/officeDocument/2006/relationships" r:embed="rId103">
          <a:extLst>
            <a:ext uri="{28A0092B-C50C-407E-A947-70E740481C1C}">
              <a14:useLocalDpi xmlns:a14="http://schemas.microsoft.com/office/drawing/2010/main" val="0"/>
            </a:ext>
          </a:extLst>
        </a:blip>
        <a:srcRect l="12912" t="32738" r="36895" b="32155"/>
        <a:stretch/>
      </xdr:blipFill>
      <xdr:spPr bwMode="auto">
        <a:xfrm>
          <a:off x="457201" y="5169483"/>
          <a:ext cx="9407235" cy="4930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10971</xdr:rowOff>
    </xdr:from>
    <xdr:to>
      <xdr:col>12</xdr:col>
      <xdr:colOff>374072</xdr:colOff>
      <xdr:row>64</xdr:row>
      <xdr:rowOff>27710</xdr:rowOff>
    </xdr:to>
    <xdr:pic>
      <xdr:nvPicPr>
        <xdr:cNvPr id="164" name="Imagen 163">
          <a:extLst>
            <a:ext uri="{FF2B5EF4-FFF2-40B4-BE49-F238E27FC236}">
              <a16:creationId xmlns:a16="http://schemas.microsoft.com/office/drawing/2014/main" id="{3C6B1E6F-58D7-4B36-9951-DF8A7F22335B}"/>
            </a:ext>
          </a:extLst>
        </xdr:cNvPr>
        <xdr:cNvPicPr>
          <a:picLocks noChangeAspect="1" noChangeArrowheads="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l="9686" t="26707" r="46889" b="39910"/>
        <a:stretch/>
      </xdr:blipFill>
      <xdr:spPr bwMode="auto">
        <a:xfrm>
          <a:off x="0" y="10069371"/>
          <a:ext cx="10127672" cy="5835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A1299"/>
  <sheetViews>
    <sheetView tabSelected="1" view="pageBreakPreview" zoomScaleNormal="100" zoomScaleSheetLayoutView="100" workbookViewId="0">
      <selection activeCell="R9" sqref="R9"/>
    </sheetView>
  </sheetViews>
  <sheetFormatPr baseColWidth="10" defaultColWidth="11.42578125" defaultRowHeight="14.25" x14ac:dyDescent="0.2"/>
  <cols>
    <col min="1" max="2" width="15.5703125" style="9" customWidth="1"/>
    <col min="3" max="3" width="15.140625" style="9" customWidth="1"/>
    <col min="4" max="4" width="13.42578125" style="9" customWidth="1"/>
    <col min="5" max="5" width="10.42578125" style="9" customWidth="1"/>
    <col min="6" max="6" width="11" style="9" customWidth="1"/>
    <col min="7" max="7" width="7.85546875" style="9" customWidth="1"/>
    <col min="8" max="8" width="8.42578125" style="9" customWidth="1"/>
    <col min="9" max="9" width="12.5703125" style="9" customWidth="1"/>
    <col min="10" max="10" width="11.7109375" style="9" customWidth="1"/>
    <col min="11" max="11" width="11" style="9" customWidth="1"/>
    <col min="12" max="12" width="9.42578125" style="9" customWidth="1"/>
    <col min="13" max="13" width="7.5703125" style="9" customWidth="1"/>
    <col min="14" max="14" width="25.7109375" style="10" customWidth="1"/>
    <col min="15" max="15" width="15" style="228" customWidth="1"/>
    <col min="16" max="16" width="12.7109375" style="10" customWidth="1"/>
    <col min="17" max="17" width="11.42578125" style="10"/>
    <col min="18" max="18" width="13" style="10" customWidth="1"/>
    <col min="19" max="19" width="14.140625" style="10" bestFit="1" customWidth="1"/>
    <col min="20" max="20" width="14.140625" style="10" customWidth="1"/>
    <col min="21" max="21" width="11.42578125" style="10"/>
    <col min="22" max="22" width="13.85546875" style="10" customWidth="1"/>
    <col min="23" max="16384" width="11.42578125" style="10"/>
  </cols>
  <sheetData>
    <row r="1" spans="1:15" s="4" customFormat="1" ht="29.25" customHeight="1" thickBot="1" x14ac:dyDescent="0.25">
      <c r="A1" s="320" t="s">
        <v>598</v>
      </c>
      <c r="B1" s="321"/>
      <c r="C1" s="321"/>
      <c r="D1" s="321"/>
      <c r="E1" s="321"/>
      <c r="F1" s="321"/>
      <c r="G1" s="321"/>
      <c r="H1" s="321"/>
      <c r="I1" s="321"/>
      <c r="J1" s="321"/>
      <c r="K1" s="321"/>
      <c r="L1" s="321"/>
      <c r="M1" s="322"/>
      <c r="O1" s="226"/>
    </row>
    <row r="2" spans="1:15" s="4" customFormat="1" ht="12.75" customHeight="1" x14ac:dyDescent="0.2">
      <c r="A2" s="5"/>
      <c r="B2" s="5"/>
      <c r="C2" s="5"/>
      <c r="D2" s="5"/>
      <c r="E2" s="5"/>
      <c r="F2" s="5"/>
      <c r="G2" s="5"/>
      <c r="H2" s="5"/>
      <c r="I2" s="5"/>
      <c r="J2" s="5"/>
      <c r="K2" s="5"/>
      <c r="L2" s="5"/>
      <c r="M2" s="5"/>
      <c r="O2" s="226"/>
    </row>
    <row r="3" spans="1:15" s="116" customFormat="1" ht="17.25" customHeight="1" x14ac:dyDescent="0.2">
      <c r="A3" s="112" t="s">
        <v>479</v>
      </c>
      <c r="B3" s="7"/>
      <c r="C3" s="7"/>
      <c r="D3" s="45"/>
      <c r="E3" s="45"/>
      <c r="F3" s="45"/>
      <c r="G3" s="45"/>
      <c r="H3" s="69"/>
      <c r="I3" s="69"/>
      <c r="J3" s="69"/>
      <c r="K3" s="69"/>
      <c r="L3" s="69"/>
      <c r="M3" s="69"/>
      <c r="O3" s="227"/>
    </row>
    <row r="4" spans="1:15" ht="17.25" customHeight="1" x14ac:dyDescent="0.2">
      <c r="A4" s="11" t="s">
        <v>587</v>
      </c>
      <c r="B4" s="5"/>
      <c r="C4" s="5"/>
      <c r="D4" s="5"/>
      <c r="E4" s="5"/>
      <c r="F4" s="5"/>
      <c r="G4" s="5"/>
      <c r="H4" s="5"/>
      <c r="I4" s="5"/>
      <c r="J4" s="5"/>
      <c r="K4" s="5"/>
      <c r="L4" s="5"/>
      <c r="M4" s="5"/>
    </row>
    <row r="5" spans="1:15" ht="17.25" customHeight="1" x14ac:dyDescent="0.2">
      <c r="A5" s="9" t="s">
        <v>588</v>
      </c>
    </row>
    <row r="6" spans="1:15" ht="17.25" customHeight="1" x14ac:dyDescent="0.2">
      <c r="A6" s="9" t="s">
        <v>589</v>
      </c>
    </row>
    <row r="7" spans="1:15" ht="17.25" customHeight="1" x14ac:dyDescent="0.2">
      <c r="A7" s="9" t="s">
        <v>590</v>
      </c>
    </row>
    <row r="8" spans="1:15" ht="17.25" customHeight="1" x14ac:dyDescent="0.2">
      <c r="A8" s="9" t="s">
        <v>591</v>
      </c>
    </row>
    <row r="9" spans="1:15" ht="17.25" customHeight="1" x14ac:dyDescent="0.2">
      <c r="B9" s="12"/>
      <c r="C9" s="12"/>
      <c r="D9" s="12"/>
      <c r="E9" s="12"/>
      <c r="F9" s="12"/>
      <c r="G9" s="12"/>
      <c r="H9" s="12"/>
      <c r="I9" s="12"/>
      <c r="J9" s="12"/>
      <c r="K9" s="12"/>
      <c r="L9" s="12"/>
      <c r="M9" s="12"/>
    </row>
    <row r="10" spans="1:15" ht="17.25" customHeight="1" x14ac:dyDescent="0.2">
      <c r="A10" s="301" t="s">
        <v>592</v>
      </c>
      <c r="B10" s="301"/>
      <c r="C10" s="301"/>
      <c r="D10" s="301"/>
      <c r="E10" s="301"/>
      <c r="F10" s="301"/>
      <c r="G10" s="301"/>
      <c r="H10" s="301"/>
      <c r="I10" s="301"/>
      <c r="J10" s="301"/>
      <c r="K10" s="301"/>
      <c r="L10" s="301"/>
      <c r="M10" s="301"/>
    </row>
    <row r="11" spans="1:15" ht="17.25" customHeight="1" x14ac:dyDescent="0.2">
      <c r="A11" s="12"/>
      <c r="B11" s="12"/>
      <c r="C11" s="12"/>
      <c r="D11" s="12"/>
      <c r="E11" s="12"/>
      <c r="F11" s="12"/>
      <c r="G11" s="12"/>
      <c r="H11" s="12"/>
      <c r="I11" s="12"/>
      <c r="J11" s="12"/>
      <c r="K11" s="12"/>
      <c r="L11" s="12"/>
      <c r="M11" s="12"/>
    </row>
    <row r="12" spans="1:15" ht="17.25" customHeight="1" x14ac:dyDescent="0.2">
      <c r="A12" s="12"/>
      <c r="B12" s="12"/>
      <c r="C12" s="12"/>
      <c r="D12" s="12"/>
      <c r="E12" s="12"/>
      <c r="F12" s="12"/>
      <c r="G12" s="12"/>
      <c r="H12" s="12"/>
      <c r="I12" s="12"/>
      <c r="J12" s="12"/>
      <c r="K12" s="12"/>
      <c r="L12" s="12"/>
      <c r="M12" s="12"/>
    </row>
    <row r="13" spans="1:15" ht="17.25" customHeight="1" x14ac:dyDescent="0.2">
      <c r="A13" s="12"/>
      <c r="B13" s="12"/>
      <c r="C13" s="12"/>
      <c r="D13" s="12"/>
      <c r="E13" s="12"/>
      <c r="F13" s="12"/>
      <c r="G13" s="12"/>
      <c r="H13" s="12"/>
      <c r="I13" s="12"/>
      <c r="J13" s="12"/>
      <c r="K13" s="12"/>
      <c r="L13" s="12"/>
      <c r="M13" s="12"/>
    </row>
    <row r="14" spans="1:15" ht="17.25" customHeight="1" x14ac:dyDescent="0.2">
      <c r="A14" s="12"/>
      <c r="B14" s="12"/>
      <c r="C14" s="12"/>
      <c r="D14" s="12"/>
      <c r="E14" s="12"/>
      <c r="F14" s="12"/>
      <c r="G14" s="12"/>
      <c r="H14" s="12"/>
      <c r="I14" s="12"/>
      <c r="J14" s="12"/>
      <c r="K14" s="12"/>
      <c r="L14" s="12"/>
      <c r="M14" s="12"/>
    </row>
    <row r="15" spans="1:15" ht="17.25" customHeight="1" x14ac:dyDescent="0.2">
      <c r="A15" s="12"/>
      <c r="B15" s="12"/>
      <c r="C15" s="12"/>
      <c r="D15" s="12"/>
      <c r="E15" s="12"/>
      <c r="F15" s="12"/>
      <c r="G15" s="12"/>
      <c r="H15" s="12"/>
      <c r="I15" s="12"/>
      <c r="J15" s="12"/>
      <c r="K15" s="12"/>
      <c r="L15" s="12"/>
      <c r="M15" s="12"/>
    </row>
    <row r="16" spans="1:15" ht="17.25" customHeight="1" x14ac:dyDescent="0.2">
      <c r="A16" s="12"/>
      <c r="B16" s="12"/>
      <c r="C16" s="12"/>
      <c r="D16" s="12"/>
      <c r="E16" s="12"/>
      <c r="F16" s="12"/>
      <c r="G16" s="12"/>
      <c r="H16" s="12"/>
      <c r="I16" s="12"/>
      <c r="J16" s="12"/>
      <c r="K16" s="12"/>
      <c r="L16" s="12"/>
      <c r="M16" s="12"/>
    </row>
    <row r="17" spans="1:13" ht="17.25" customHeight="1" x14ac:dyDescent="0.2">
      <c r="A17" s="12"/>
      <c r="B17" s="12"/>
      <c r="C17" s="12"/>
      <c r="D17" s="12"/>
      <c r="E17" s="12"/>
      <c r="F17" s="12"/>
      <c r="G17" s="12"/>
      <c r="H17" s="12"/>
      <c r="I17" s="12"/>
      <c r="J17" s="12"/>
      <c r="K17" s="12"/>
      <c r="L17" s="12"/>
      <c r="M17" s="12"/>
    </row>
    <row r="18" spans="1:13" ht="17.25" customHeight="1" x14ac:dyDescent="0.2">
      <c r="A18" s="12"/>
      <c r="B18" s="12"/>
      <c r="C18" s="12"/>
      <c r="D18" s="12"/>
      <c r="E18" s="12"/>
      <c r="F18" s="12"/>
      <c r="G18" s="12"/>
      <c r="H18" s="12"/>
      <c r="I18" s="12"/>
      <c r="J18" s="12"/>
      <c r="K18" s="12"/>
      <c r="L18" s="12"/>
      <c r="M18" s="12"/>
    </row>
    <row r="19" spans="1:13" ht="17.25" customHeight="1" x14ac:dyDescent="0.2">
      <c r="A19" s="12"/>
      <c r="B19" s="12"/>
      <c r="C19" s="12"/>
      <c r="D19" s="12"/>
      <c r="E19" s="12"/>
      <c r="F19" s="12"/>
      <c r="G19" s="12"/>
      <c r="H19" s="12"/>
      <c r="I19" s="12"/>
      <c r="J19" s="12"/>
      <c r="K19" s="12"/>
      <c r="L19" s="12"/>
      <c r="M19" s="12"/>
    </row>
    <row r="20" spans="1:13" ht="17.25" customHeight="1" x14ac:dyDescent="0.2">
      <c r="A20" s="12"/>
      <c r="B20" s="12"/>
      <c r="C20" s="12"/>
      <c r="D20" s="12"/>
      <c r="E20" s="12"/>
      <c r="F20" s="12"/>
      <c r="G20" s="12"/>
      <c r="H20" s="12"/>
      <c r="I20" s="12"/>
      <c r="J20" s="12"/>
      <c r="K20" s="12"/>
      <c r="L20" s="12"/>
      <c r="M20" s="12"/>
    </row>
    <row r="21" spans="1:13" ht="17.25" customHeight="1" x14ac:dyDescent="0.2">
      <c r="A21" s="12"/>
      <c r="B21" s="12"/>
      <c r="C21" s="12"/>
      <c r="D21" s="12"/>
      <c r="E21" s="12"/>
      <c r="F21" s="12"/>
      <c r="G21" s="12"/>
      <c r="H21" s="12"/>
      <c r="I21" s="12"/>
      <c r="J21" s="12"/>
      <c r="K21" s="12"/>
      <c r="L21" s="12"/>
      <c r="M21" s="12"/>
    </row>
    <row r="22" spans="1:13" ht="17.25" customHeight="1" x14ac:dyDescent="0.2">
      <c r="A22" s="12"/>
      <c r="B22" s="12"/>
      <c r="C22" s="12"/>
      <c r="D22" s="12"/>
      <c r="E22" s="12"/>
      <c r="F22" s="12"/>
      <c r="G22" s="12"/>
      <c r="H22" s="12"/>
      <c r="I22" s="12"/>
      <c r="J22" s="12"/>
      <c r="K22" s="12"/>
      <c r="L22" s="12"/>
      <c r="M22" s="12"/>
    </row>
    <row r="23" spans="1:13" ht="17.25" customHeight="1" x14ac:dyDescent="0.2">
      <c r="A23" s="12"/>
      <c r="B23" s="12"/>
      <c r="C23" s="12"/>
      <c r="D23" s="12"/>
      <c r="E23" s="12"/>
      <c r="F23" s="12"/>
      <c r="G23" s="12"/>
      <c r="H23" s="12"/>
      <c r="I23" s="12"/>
      <c r="J23" s="12"/>
      <c r="K23" s="12"/>
      <c r="L23" s="12"/>
      <c r="M23" s="12"/>
    </row>
    <row r="24" spans="1:13" ht="17.25" customHeight="1" x14ac:dyDescent="0.2">
      <c r="A24" s="12"/>
      <c r="B24" s="12"/>
      <c r="C24" s="12"/>
      <c r="D24" s="12"/>
      <c r="E24" s="12"/>
      <c r="F24" s="12"/>
      <c r="G24" s="12"/>
      <c r="H24" s="12"/>
      <c r="I24" s="12"/>
      <c r="J24" s="12"/>
      <c r="K24" s="12"/>
      <c r="L24" s="12"/>
      <c r="M24" s="12"/>
    </row>
    <row r="25" spans="1:13" ht="17.25" customHeight="1" x14ac:dyDescent="0.2">
      <c r="A25" s="12"/>
      <c r="B25" s="12"/>
      <c r="C25" s="12"/>
      <c r="D25" s="12"/>
      <c r="E25" s="12"/>
      <c r="F25" s="12"/>
      <c r="G25" s="12"/>
      <c r="H25" s="12"/>
      <c r="I25" s="12"/>
      <c r="J25" s="12"/>
      <c r="K25" s="12"/>
      <c r="L25" s="12"/>
      <c r="M25" s="12"/>
    </row>
    <row r="26" spans="1:13" ht="17.25" customHeight="1" x14ac:dyDescent="0.2">
      <c r="A26" s="12"/>
      <c r="B26" s="12"/>
      <c r="C26" s="12"/>
      <c r="D26" s="12"/>
      <c r="E26" s="12"/>
      <c r="F26" s="12"/>
      <c r="G26" s="12"/>
      <c r="H26" s="12"/>
      <c r="I26" s="12"/>
      <c r="J26" s="12"/>
      <c r="K26" s="12"/>
      <c r="L26" s="12"/>
      <c r="M26" s="12"/>
    </row>
    <row r="27" spans="1:13" ht="17.25" customHeight="1" x14ac:dyDescent="0.2">
      <c r="A27" s="12"/>
      <c r="B27" s="12"/>
      <c r="C27" s="12"/>
      <c r="D27" s="12"/>
      <c r="E27" s="12"/>
      <c r="F27" s="12"/>
      <c r="G27" s="12"/>
      <c r="H27" s="12"/>
      <c r="I27" s="12"/>
      <c r="J27" s="12"/>
      <c r="K27" s="12"/>
      <c r="L27" s="12"/>
      <c r="M27" s="12"/>
    </row>
    <row r="28" spans="1:13" ht="17.25" customHeight="1" x14ac:dyDescent="0.2">
      <c r="A28" s="12"/>
      <c r="B28" s="12"/>
      <c r="C28" s="12"/>
      <c r="D28" s="12"/>
      <c r="E28" s="12"/>
      <c r="F28" s="12"/>
      <c r="G28" s="12"/>
      <c r="H28" s="12"/>
      <c r="I28" s="12"/>
      <c r="J28" s="12"/>
      <c r="K28" s="12"/>
      <c r="L28" s="12"/>
      <c r="M28" s="12"/>
    </row>
    <row r="29" spans="1:13" ht="17.25" customHeight="1" x14ac:dyDescent="0.2">
      <c r="A29" s="12"/>
      <c r="B29" s="12"/>
      <c r="C29" s="12"/>
      <c r="D29" s="12"/>
      <c r="E29" s="12"/>
      <c r="F29" s="12"/>
      <c r="G29" s="12"/>
      <c r="H29" s="12"/>
      <c r="I29" s="12"/>
      <c r="J29" s="12"/>
      <c r="K29" s="12"/>
      <c r="L29" s="12"/>
      <c r="M29" s="12"/>
    </row>
    <row r="30" spans="1:13" ht="17.25" customHeight="1" x14ac:dyDescent="0.2">
      <c r="A30" s="12"/>
      <c r="B30" s="12"/>
      <c r="C30" s="12"/>
      <c r="D30" s="12"/>
      <c r="E30" s="12"/>
      <c r="F30" s="12"/>
      <c r="G30" s="12"/>
      <c r="H30" s="12"/>
      <c r="I30" s="12"/>
      <c r="J30" s="12"/>
      <c r="K30" s="12"/>
      <c r="L30" s="12"/>
      <c r="M30" s="12"/>
    </row>
    <row r="31" spans="1:13" ht="17.25" customHeight="1" x14ac:dyDescent="0.2">
      <c r="A31" s="12"/>
      <c r="B31" s="12"/>
      <c r="C31" s="12"/>
      <c r="D31" s="12"/>
      <c r="E31" s="12"/>
      <c r="F31" s="12"/>
      <c r="G31" s="12"/>
      <c r="H31" s="12"/>
      <c r="I31" s="12"/>
      <c r="J31" s="12"/>
      <c r="K31" s="12"/>
      <c r="L31" s="12"/>
      <c r="M31" s="12"/>
    </row>
    <row r="32" spans="1:13" ht="17.25" customHeight="1" x14ac:dyDescent="0.2">
      <c r="A32" s="12"/>
      <c r="B32" s="12"/>
      <c r="C32" s="12"/>
      <c r="D32" s="12"/>
      <c r="E32" s="12"/>
      <c r="F32" s="12"/>
      <c r="G32" s="12"/>
      <c r="H32" s="12"/>
      <c r="I32" s="12"/>
      <c r="J32" s="12"/>
      <c r="K32" s="12"/>
      <c r="L32" s="12"/>
      <c r="M32" s="12"/>
    </row>
    <row r="33" spans="1:14" ht="17.25" customHeight="1" x14ac:dyDescent="0.2">
      <c r="A33" s="12"/>
      <c r="B33" s="12"/>
      <c r="C33" s="12"/>
      <c r="D33" s="12"/>
      <c r="E33" s="12"/>
      <c r="F33" s="12"/>
      <c r="G33" s="12"/>
      <c r="H33" s="12"/>
      <c r="I33" s="12"/>
      <c r="J33" s="12"/>
      <c r="K33" s="12"/>
      <c r="L33" s="12"/>
      <c r="M33" s="12"/>
    </row>
    <row r="34" spans="1:14" ht="17.25" customHeight="1" x14ac:dyDescent="0.2">
      <c r="A34" s="12"/>
      <c r="B34" s="12"/>
      <c r="C34" s="12"/>
      <c r="D34" s="12"/>
      <c r="E34" s="12"/>
      <c r="F34" s="12"/>
      <c r="G34" s="12"/>
      <c r="H34" s="12"/>
      <c r="I34" s="12"/>
      <c r="J34" s="12"/>
      <c r="K34" s="12"/>
      <c r="L34" s="12"/>
      <c r="M34" s="12"/>
    </row>
    <row r="35" spans="1:14" ht="17.25" customHeight="1" x14ac:dyDescent="0.2">
      <c r="A35" s="12"/>
      <c r="B35" s="12"/>
      <c r="C35" s="12"/>
      <c r="D35" s="12"/>
      <c r="E35" s="12"/>
      <c r="F35" s="12"/>
      <c r="G35" s="12"/>
      <c r="H35" s="12"/>
      <c r="I35" s="12"/>
      <c r="J35" s="12"/>
      <c r="K35" s="12"/>
      <c r="L35" s="12"/>
      <c r="M35" s="12"/>
    </row>
    <row r="36" spans="1:14" ht="17.25" customHeight="1" x14ac:dyDescent="0.2">
      <c r="A36" s="12"/>
      <c r="B36" s="12"/>
      <c r="C36" s="12"/>
      <c r="D36" s="12"/>
      <c r="E36" s="12"/>
      <c r="F36" s="12"/>
      <c r="G36" s="12"/>
      <c r="H36" s="12"/>
      <c r="I36" s="12"/>
      <c r="J36" s="12"/>
      <c r="K36" s="12"/>
      <c r="L36" s="12"/>
      <c r="M36" s="12"/>
      <c r="N36" s="10" t="s">
        <v>225</v>
      </c>
    </row>
    <row r="37" spans="1:14" ht="17.25" customHeight="1" x14ac:dyDescent="0.2">
      <c r="A37" s="12"/>
      <c r="B37" s="12"/>
      <c r="C37" s="12"/>
      <c r="D37" s="12"/>
      <c r="E37" s="12"/>
      <c r="F37" s="12"/>
      <c r="G37" s="12"/>
      <c r="H37" s="12"/>
      <c r="I37" s="12"/>
      <c r="J37" s="12"/>
      <c r="K37" s="12"/>
      <c r="L37" s="12"/>
      <c r="M37" s="12"/>
    </row>
    <row r="38" spans="1:14" ht="17.25" customHeight="1" x14ac:dyDescent="0.2">
      <c r="A38" s="12"/>
      <c r="B38" s="12"/>
      <c r="C38" s="12"/>
      <c r="D38" s="12"/>
      <c r="E38" s="12"/>
      <c r="F38" s="12"/>
      <c r="G38" s="12"/>
      <c r="H38" s="12"/>
      <c r="I38" s="12"/>
      <c r="J38" s="12"/>
      <c r="K38" s="12"/>
      <c r="L38" s="12"/>
      <c r="M38" s="12"/>
    </row>
    <row r="39" spans="1:14" ht="17.25" customHeight="1" x14ac:dyDescent="0.2">
      <c r="A39" s="12"/>
      <c r="B39" s="12"/>
      <c r="C39" s="12"/>
      <c r="D39" s="12"/>
      <c r="E39" s="12"/>
      <c r="F39" s="12"/>
      <c r="G39" s="12"/>
      <c r="H39" s="12"/>
      <c r="I39" s="12"/>
      <c r="J39" s="12"/>
      <c r="K39" s="12"/>
      <c r="L39" s="12"/>
      <c r="M39" s="12"/>
    </row>
    <row r="40" spans="1:14" ht="17.25" customHeight="1" x14ac:dyDescent="0.2">
      <c r="A40" s="12"/>
      <c r="B40" s="12"/>
      <c r="C40" s="12"/>
      <c r="D40" s="12"/>
      <c r="E40" s="12"/>
      <c r="F40" s="12"/>
      <c r="G40" s="12"/>
      <c r="H40" s="12"/>
      <c r="I40" s="12"/>
      <c r="J40" s="12"/>
      <c r="K40" s="12"/>
      <c r="L40" s="12"/>
      <c r="M40" s="12"/>
    </row>
    <row r="41" spans="1:14" ht="17.25" customHeight="1" x14ac:dyDescent="0.2">
      <c r="A41" s="12"/>
      <c r="B41" s="12"/>
      <c r="C41" s="12"/>
      <c r="D41" s="12"/>
      <c r="E41" s="12"/>
      <c r="F41" s="12"/>
      <c r="G41" s="12"/>
      <c r="H41" s="12"/>
      <c r="I41" s="12"/>
      <c r="J41" s="12"/>
      <c r="K41" s="12"/>
      <c r="L41" s="12"/>
      <c r="M41" s="12"/>
    </row>
    <row r="42" spans="1:14" ht="17.25" customHeight="1" x14ac:dyDescent="0.2">
      <c r="A42" s="12"/>
      <c r="B42" s="12"/>
      <c r="C42" s="12"/>
      <c r="D42" s="12"/>
      <c r="E42" s="12"/>
      <c r="F42" s="12"/>
      <c r="G42" s="12"/>
      <c r="H42" s="12"/>
      <c r="I42" s="12"/>
      <c r="J42" s="12"/>
      <c r="K42" s="12"/>
      <c r="L42" s="12"/>
      <c r="M42" s="12"/>
    </row>
    <row r="43" spans="1:14" ht="17.25" customHeight="1" x14ac:dyDescent="0.2">
      <c r="A43" s="12"/>
      <c r="B43" s="12"/>
      <c r="C43" s="12"/>
      <c r="D43" s="12"/>
      <c r="E43" s="12"/>
      <c r="F43" s="12"/>
      <c r="G43" s="12"/>
      <c r="H43" s="12"/>
      <c r="I43" s="12"/>
      <c r="J43" s="12"/>
      <c r="K43" s="12"/>
      <c r="L43" s="12"/>
      <c r="M43" s="12"/>
    </row>
    <row r="44" spans="1:14" ht="17.25" customHeight="1" x14ac:dyDescent="0.2">
      <c r="A44" s="12"/>
      <c r="B44" s="12"/>
      <c r="C44" s="12"/>
      <c r="D44" s="12"/>
      <c r="E44" s="12"/>
      <c r="F44" s="12"/>
      <c r="G44" s="12"/>
      <c r="H44" s="12"/>
      <c r="I44" s="12"/>
      <c r="J44" s="12"/>
      <c r="K44" s="12"/>
      <c r="L44" s="12"/>
      <c r="M44" s="12"/>
    </row>
    <row r="45" spans="1:14" ht="17.25" customHeight="1" x14ac:dyDescent="0.2">
      <c r="A45" s="12"/>
      <c r="B45" s="12"/>
      <c r="C45" s="12"/>
      <c r="D45" s="12"/>
      <c r="E45" s="12"/>
      <c r="F45" s="12"/>
      <c r="G45" s="12"/>
      <c r="H45" s="12"/>
      <c r="I45" s="12"/>
      <c r="J45" s="12"/>
      <c r="K45" s="12"/>
      <c r="L45" s="12"/>
      <c r="M45" s="12"/>
    </row>
    <row r="46" spans="1:14" ht="17.25" customHeight="1" x14ac:dyDescent="0.2">
      <c r="A46" s="12"/>
      <c r="B46" s="12"/>
      <c r="C46" s="12"/>
      <c r="D46" s="12"/>
      <c r="E46" s="12"/>
      <c r="F46" s="12"/>
      <c r="G46" s="12"/>
      <c r="H46" s="12"/>
      <c r="I46" s="12"/>
      <c r="J46" s="12"/>
      <c r="K46" s="12"/>
      <c r="L46" s="12"/>
      <c r="M46" s="12"/>
    </row>
    <row r="47" spans="1:14" ht="17.25" customHeight="1" x14ac:dyDescent="0.2">
      <c r="A47" s="12"/>
      <c r="B47" s="12"/>
      <c r="C47" s="12"/>
      <c r="D47" s="12"/>
      <c r="E47" s="12"/>
      <c r="F47" s="12"/>
      <c r="G47" s="12"/>
      <c r="H47" s="12"/>
      <c r="I47" s="12"/>
      <c r="J47" s="12"/>
      <c r="K47" s="12"/>
      <c r="L47" s="12"/>
      <c r="M47" s="12"/>
    </row>
    <row r="48" spans="1:14" ht="17.25" customHeight="1" x14ac:dyDescent="0.2">
      <c r="A48" s="12"/>
      <c r="B48" s="12"/>
      <c r="C48" s="12"/>
      <c r="D48" s="12"/>
      <c r="E48" s="12"/>
      <c r="F48" s="12"/>
      <c r="G48" s="12"/>
      <c r="H48" s="12"/>
      <c r="I48" s="12"/>
      <c r="J48" s="12"/>
      <c r="K48" s="12"/>
      <c r="L48" s="12"/>
      <c r="M48" s="12"/>
    </row>
    <row r="49" spans="1:13" ht="17.25" customHeight="1" x14ac:dyDescent="0.2">
      <c r="A49" s="12"/>
      <c r="B49" s="12"/>
      <c r="C49" s="12"/>
      <c r="D49" s="12"/>
      <c r="E49" s="12"/>
      <c r="F49" s="12"/>
      <c r="G49" s="12"/>
      <c r="H49" s="12"/>
      <c r="I49" s="12"/>
      <c r="J49" s="12"/>
      <c r="K49" s="12"/>
      <c r="L49" s="12"/>
      <c r="M49" s="12"/>
    </row>
    <row r="50" spans="1:13" ht="17.25" customHeight="1" x14ac:dyDescent="0.2">
      <c r="A50" s="12"/>
      <c r="B50" s="12"/>
      <c r="C50" s="12"/>
      <c r="D50" s="12"/>
      <c r="E50" s="12"/>
      <c r="F50" s="12"/>
      <c r="G50" s="12"/>
      <c r="H50" s="12"/>
      <c r="I50" s="12"/>
      <c r="J50" s="12"/>
      <c r="K50" s="12"/>
      <c r="L50" s="12"/>
      <c r="M50" s="12"/>
    </row>
    <row r="51" spans="1:13" ht="17.25" customHeight="1" x14ac:dyDescent="0.2">
      <c r="A51" s="12"/>
      <c r="B51" s="12"/>
      <c r="C51" s="12"/>
      <c r="D51" s="12"/>
      <c r="E51" s="12"/>
      <c r="F51" s="12"/>
      <c r="G51" s="12"/>
      <c r="H51" s="12"/>
      <c r="I51" s="12"/>
      <c r="J51" s="12"/>
      <c r="K51" s="12"/>
      <c r="L51" s="12"/>
      <c r="M51" s="12"/>
    </row>
    <row r="52" spans="1:13" ht="17.25" customHeight="1" x14ac:dyDescent="0.2">
      <c r="A52" s="12"/>
      <c r="B52" s="12"/>
      <c r="C52" s="12"/>
      <c r="D52" s="12"/>
      <c r="E52" s="12"/>
      <c r="F52" s="12"/>
      <c r="G52" s="12"/>
      <c r="H52" s="12"/>
      <c r="I52" s="12"/>
      <c r="J52" s="12"/>
      <c r="K52" s="12"/>
      <c r="L52" s="12"/>
      <c r="M52" s="12"/>
    </row>
    <row r="53" spans="1:13" ht="17.25" customHeight="1" x14ac:dyDescent="0.2">
      <c r="A53" s="12"/>
      <c r="B53" s="12"/>
      <c r="C53" s="12"/>
      <c r="D53" s="12"/>
      <c r="E53" s="12"/>
      <c r="F53" s="12"/>
      <c r="G53" s="12"/>
      <c r="H53" s="12"/>
      <c r="I53" s="12"/>
      <c r="J53" s="12"/>
      <c r="K53" s="12"/>
      <c r="L53" s="12"/>
      <c r="M53" s="12"/>
    </row>
    <row r="54" spans="1:13" ht="17.25" customHeight="1" x14ac:dyDescent="0.2">
      <c r="A54" s="12"/>
      <c r="B54" s="12"/>
      <c r="C54" s="12"/>
      <c r="D54" s="12"/>
      <c r="E54" s="12"/>
      <c r="F54" s="12"/>
      <c r="G54" s="12"/>
      <c r="H54" s="12"/>
      <c r="I54" s="12"/>
      <c r="J54" s="12"/>
      <c r="K54" s="12"/>
      <c r="L54" s="12"/>
      <c r="M54" s="12"/>
    </row>
    <row r="55" spans="1:13" ht="17.25" customHeight="1" x14ac:dyDescent="0.2">
      <c r="A55" s="12"/>
      <c r="B55" s="12"/>
      <c r="C55" s="12"/>
      <c r="D55" s="12"/>
      <c r="E55" s="12"/>
      <c r="F55" s="12"/>
      <c r="G55" s="12"/>
      <c r="H55" s="12"/>
      <c r="I55" s="12"/>
      <c r="J55" s="12"/>
      <c r="K55" s="12"/>
      <c r="L55" s="12"/>
      <c r="M55" s="12"/>
    </row>
    <row r="56" spans="1:13" ht="17.25" customHeight="1" x14ac:dyDescent="0.2">
      <c r="A56" s="12"/>
      <c r="B56" s="12"/>
      <c r="C56" s="12"/>
      <c r="D56" s="12"/>
      <c r="E56" s="12"/>
      <c r="F56" s="12"/>
      <c r="G56" s="12"/>
      <c r="H56" s="12"/>
      <c r="I56" s="12"/>
      <c r="J56" s="12"/>
      <c r="K56" s="12"/>
      <c r="L56" s="12"/>
      <c r="M56" s="12"/>
    </row>
    <row r="57" spans="1:13" ht="17.25" customHeight="1" x14ac:dyDescent="0.2">
      <c r="A57" s="12"/>
      <c r="B57" s="12"/>
      <c r="C57" s="12"/>
      <c r="D57" s="12"/>
      <c r="E57" s="12"/>
      <c r="F57" s="12"/>
      <c r="G57" s="12"/>
      <c r="H57" s="12"/>
      <c r="I57" s="12"/>
      <c r="J57" s="12"/>
      <c r="K57" s="12"/>
      <c r="L57" s="12"/>
      <c r="M57" s="12"/>
    </row>
    <row r="58" spans="1:13" ht="17.25" customHeight="1" x14ac:dyDescent="0.2">
      <c r="A58" s="12"/>
      <c r="B58" s="12"/>
      <c r="C58" s="12"/>
      <c r="D58" s="12"/>
      <c r="E58" s="12"/>
      <c r="F58" s="12"/>
      <c r="G58" s="12"/>
      <c r="H58" s="12"/>
      <c r="I58" s="12"/>
      <c r="J58" s="12"/>
      <c r="K58" s="12"/>
      <c r="L58" s="12"/>
      <c r="M58" s="12"/>
    </row>
    <row r="59" spans="1:13" ht="17.25" customHeight="1" x14ac:dyDescent="0.2">
      <c r="A59" s="12"/>
      <c r="B59" s="12"/>
      <c r="C59" s="12"/>
      <c r="D59" s="12"/>
      <c r="E59" s="12"/>
      <c r="F59" s="12"/>
      <c r="G59" s="12"/>
      <c r="H59" s="12"/>
      <c r="I59" s="12"/>
      <c r="J59" s="12"/>
      <c r="K59" s="12"/>
      <c r="L59" s="12"/>
      <c r="M59" s="12"/>
    </row>
    <row r="60" spans="1:13" ht="17.25" customHeight="1" x14ac:dyDescent="0.2">
      <c r="A60" s="12"/>
      <c r="B60" s="12"/>
      <c r="C60" s="12"/>
      <c r="D60" s="12"/>
      <c r="E60" s="12"/>
      <c r="F60" s="12"/>
      <c r="G60" s="12"/>
      <c r="H60" s="12"/>
      <c r="I60" s="12"/>
      <c r="J60" s="12"/>
      <c r="K60" s="12"/>
      <c r="L60" s="12"/>
      <c r="M60" s="12"/>
    </row>
    <row r="61" spans="1:13" ht="17.25" customHeight="1" x14ac:dyDescent="0.2">
      <c r="A61" s="12"/>
      <c r="B61" s="12"/>
      <c r="C61" s="12"/>
      <c r="D61" s="12"/>
      <c r="E61" s="12"/>
      <c r="F61" s="12"/>
      <c r="G61" s="12"/>
      <c r="H61" s="12"/>
      <c r="I61" s="12"/>
      <c r="J61" s="12"/>
      <c r="K61" s="12"/>
      <c r="L61" s="12"/>
      <c r="M61" s="12"/>
    </row>
    <row r="62" spans="1:13" ht="17.25" customHeight="1" x14ac:dyDescent="0.2">
      <c r="A62" s="12"/>
      <c r="B62" s="12"/>
      <c r="C62" s="12"/>
      <c r="D62" s="12"/>
      <c r="E62" s="12"/>
      <c r="F62" s="12"/>
      <c r="G62" s="12"/>
      <c r="H62" s="12"/>
      <c r="I62" s="12"/>
      <c r="J62" s="12"/>
      <c r="K62" s="12"/>
      <c r="L62" s="12"/>
      <c r="M62" s="12"/>
    </row>
    <row r="63" spans="1:13" ht="17.25" customHeight="1" x14ac:dyDescent="0.2">
      <c r="A63" s="12"/>
      <c r="B63" s="12"/>
      <c r="C63" s="12"/>
      <c r="D63" s="12"/>
      <c r="E63" s="12"/>
      <c r="F63" s="12"/>
      <c r="G63" s="12"/>
      <c r="H63" s="12"/>
      <c r="I63" s="12"/>
      <c r="J63" s="12"/>
      <c r="K63" s="12"/>
      <c r="L63" s="12"/>
      <c r="M63" s="12"/>
    </row>
    <row r="64" spans="1:13" ht="17.25" customHeight="1" x14ac:dyDescent="0.2">
      <c r="A64" s="12"/>
      <c r="B64" s="12"/>
      <c r="C64" s="12"/>
      <c r="D64" s="12"/>
      <c r="E64" s="12"/>
      <c r="F64" s="12"/>
      <c r="G64" s="12"/>
      <c r="H64" s="12"/>
      <c r="I64" s="12"/>
      <c r="J64" s="12"/>
      <c r="K64" s="12"/>
      <c r="L64" s="12"/>
      <c r="M64" s="12"/>
    </row>
    <row r="65" spans="1:18" ht="17.25" customHeight="1" x14ac:dyDescent="0.2">
      <c r="A65" s="112" t="s">
        <v>242</v>
      </c>
      <c r="B65" s="7"/>
      <c r="C65" s="7"/>
      <c r="D65" s="8"/>
      <c r="E65" s="8"/>
      <c r="F65" s="8"/>
      <c r="G65" s="8"/>
    </row>
    <row r="66" spans="1:18" ht="17.25" customHeight="1" x14ac:dyDescent="0.2">
      <c r="A66" s="13" t="s">
        <v>240</v>
      </c>
      <c r="C66" s="5"/>
      <c r="D66" s="5"/>
      <c r="E66" s="5"/>
      <c r="F66" s="5"/>
      <c r="G66" s="5"/>
      <c r="H66" s="13" t="s">
        <v>226</v>
      </c>
      <c r="J66" s="5"/>
      <c r="K66" s="5"/>
      <c r="L66" s="5"/>
      <c r="M66" s="5"/>
    </row>
    <row r="67" spans="1:18" s="9" customFormat="1" ht="17.25" customHeight="1" x14ac:dyDescent="0.2">
      <c r="A67" s="14" t="s">
        <v>188</v>
      </c>
      <c r="B67" s="17">
        <v>1.9</v>
      </c>
      <c r="C67" s="9" t="s">
        <v>186</v>
      </c>
      <c r="H67" s="14" t="s">
        <v>200</v>
      </c>
      <c r="I67" s="259" t="s">
        <v>599</v>
      </c>
      <c r="J67" s="16"/>
      <c r="K67" s="16"/>
      <c r="L67" s="16"/>
      <c r="M67" s="16"/>
      <c r="O67" s="179"/>
    </row>
    <row r="68" spans="1:18" s="9" customFormat="1" ht="17.25" customHeight="1" x14ac:dyDescent="0.2">
      <c r="A68" s="14" t="s">
        <v>234</v>
      </c>
      <c r="B68" s="20">
        <v>90</v>
      </c>
      <c r="C68" s="9" t="s">
        <v>236</v>
      </c>
      <c r="H68" s="14" t="s">
        <v>233</v>
      </c>
      <c r="I68" s="18">
        <v>1.361</v>
      </c>
      <c r="J68" s="9" t="s">
        <v>185</v>
      </c>
      <c r="M68" s="19"/>
      <c r="O68" s="179"/>
    </row>
    <row r="69" spans="1:18" s="9" customFormat="1" ht="17.25" customHeight="1" x14ac:dyDescent="0.2">
      <c r="A69" s="14" t="s">
        <v>191</v>
      </c>
      <c r="B69" s="23">
        <v>5</v>
      </c>
      <c r="C69" s="9" t="s">
        <v>238</v>
      </c>
      <c r="H69" s="14" t="s">
        <v>79</v>
      </c>
      <c r="I69" s="20">
        <v>24.7</v>
      </c>
      <c r="J69" s="9" t="s">
        <v>239</v>
      </c>
      <c r="M69" s="5"/>
      <c r="O69" s="179"/>
    </row>
    <row r="70" spans="1:18" s="9" customFormat="1" ht="17.25" customHeight="1" x14ac:dyDescent="0.2">
      <c r="A70" s="14" t="s">
        <v>237</v>
      </c>
      <c r="B70" s="20">
        <v>0</v>
      </c>
      <c r="C70" s="9" t="s">
        <v>235</v>
      </c>
      <c r="D70" s="5"/>
      <c r="E70" s="5"/>
      <c r="H70" s="14" t="s">
        <v>231</v>
      </c>
      <c r="I70" s="15">
        <v>2.8</v>
      </c>
      <c r="J70" s="9" t="s">
        <v>232</v>
      </c>
      <c r="M70" s="5"/>
      <c r="O70" s="179"/>
    </row>
    <row r="71" spans="1:18" s="9" customFormat="1" ht="17.25" customHeight="1" x14ac:dyDescent="0.2">
      <c r="A71" s="14" t="s">
        <v>276</v>
      </c>
      <c r="B71" s="20">
        <f>I69/3</f>
        <v>8.2333333333333325</v>
      </c>
      <c r="C71" s="9" t="s">
        <v>250</v>
      </c>
      <c r="H71" s="14" t="s">
        <v>227</v>
      </c>
      <c r="I71" s="158">
        <v>0.94</v>
      </c>
      <c r="J71" s="9" t="s">
        <v>198</v>
      </c>
      <c r="O71" s="179"/>
    </row>
    <row r="72" spans="1:18" s="9" customFormat="1" ht="17.25" customHeight="1" x14ac:dyDescent="0.2">
      <c r="A72" s="14" t="s">
        <v>187</v>
      </c>
      <c r="B72" s="15">
        <v>0.25</v>
      </c>
      <c r="C72" s="9" t="s">
        <v>241</v>
      </c>
      <c r="H72" s="14" t="s">
        <v>253</v>
      </c>
      <c r="I72" s="17">
        <v>2</v>
      </c>
      <c r="J72" s="9" t="s">
        <v>254</v>
      </c>
      <c r="O72" s="179"/>
    </row>
    <row r="73" spans="1:18" s="9" customFormat="1" ht="17.25" customHeight="1" x14ac:dyDescent="0.2">
      <c r="A73" s="14" t="s">
        <v>251</v>
      </c>
      <c r="B73" s="17">
        <v>1.9</v>
      </c>
      <c r="C73" s="9" t="s">
        <v>252</v>
      </c>
      <c r="O73" s="179"/>
    </row>
    <row r="74" spans="1:18" s="9" customFormat="1" ht="17.25" customHeight="1" x14ac:dyDescent="0.2">
      <c r="H74" s="13" t="s">
        <v>346</v>
      </c>
      <c r="O74" s="179"/>
    </row>
    <row r="75" spans="1:18" s="9" customFormat="1" ht="17.25" customHeight="1" x14ac:dyDescent="0.2">
      <c r="A75" s="13" t="s">
        <v>243</v>
      </c>
      <c r="H75" s="14" t="s">
        <v>199</v>
      </c>
      <c r="I75" s="17">
        <v>1.5</v>
      </c>
      <c r="J75" s="9" t="s">
        <v>344</v>
      </c>
      <c r="O75" s="179"/>
    </row>
    <row r="76" spans="1:18" s="9" customFormat="1" ht="17.25" customHeight="1" x14ac:dyDescent="0.2">
      <c r="A76" s="14" t="s">
        <v>190</v>
      </c>
      <c r="B76" s="21">
        <v>210</v>
      </c>
      <c r="C76" s="9" t="s">
        <v>2</v>
      </c>
      <c r="D76" s="22"/>
      <c r="H76" s="14" t="s">
        <v>280</v>
      </c>
      <c r="I76" s="18">
        <f>+I68</f>
        <v>1.361</v>
      </c>
      <c r="J76" s="9" t="s">
        <v>345</v>
      </c>
      <c r="L76" s="5"/>
      <c r="M76" s="5"/>
      <c r="O76" s="179"/>
    </row>
    <row r="77" spans="1:18" s="9" customFormat="1" ht="17.25" customHeight="1" x14ac:dyDescent="0.2">
      <c r="A77" s="14" t="s">
        <v>277</v>
      </c>
      <c r="B77" s="18">
        <v>2.4</v>
      </c>
      <c r="C77" s="9" t="s">
        <v>194</v>
      </c>
      <c r="F77" s="5"/>
      <c r="G77" s="5"/>
      <c r="M77" s="5"/>
      <c r="O77" s="179"/>
      <c r="R77" s="79"/>
    </row>
    <row r="78" spans="1:18" s="9" customFormat="1" ht="17.25" customHeight="1" x14ac:dyDescent="0.2">
      <c r="A78" s="14" t="s">
        <v>196</v>
      </c>
      <c r="B78" s="21">
        <v>4200</v>
      </c>
      <c r="C78" s="9" t="s">
        <v>197</v>
      </c>
      <c r="H78" s="13" t="s">
        <v>246</v>
      </c>
      <c r="J78" s="5"/>
      <c r="K78" s="5"/>
      <c r="L78" s="5"/>
      <c r="M78" s="5"/>
      <c r="O78" s="179"/>
    </row>
    <row r="79" spans="1:18" s="9" customFormat="1" ht="17.25" customHeight="1" x14ac:dyDescent="0.2">
      <c r="A79" s="5"/>
      <c r="B79" s="5"/>
      <c r="C79" s="5"/>
      <c r="D79" s="5"/>
      <c r="E79" s="5"/>
      <c r="F79" s="5"/>
      <c r="G79" s="5"/>
      <c r="H79" s="14" t="s">
        <v>189</v>
      </c>
      <c r="I79" s="17">
        <v>2.5</v>
      </c>
      <c r="J79" s="9" t="s">
        <v>245</v>
      </c>
      <c r="K79" s="5"/>
      <c r="L79" s="5"/>
      <c r="M79" s="5"/>
      <c r="O79" s="179"/>
    </row>
    <row r="80" spans="1:18" s="9" customFormat="1" ht="17.25" customHeight="1" x14ac:dyDescent="0.2">
      <c r="A80" s="13" t="s">
        <v>247</v>
      </c>
      <c r="E80" s="5"/>
      <c r="F80" s="5"/>
      <c r="G80" s="5"/>
      <c r="H80" s="14" t="s">
        <v>279</v>
      </c>
      <c r="I80" s="18">
        <v>1</v>
      </c>
      <c r="J80" s="9" t="s">
        <v>244</v>
      </c>
      <c r="K80" s="5"/>
      <c r="L80" s="5"/>
      <c r="M80" s="5"/>
      <c r="O80" s="179"/>
    </row>
    <row r="81" spans="1:20" s="9" customFormat="1" ht="17.25" customHeight="1" x14ac:dyDescent="0.2">
      <c r="A81" s="14" t="s">
        <v>248</v>
      </c>
      <c r="B81" s="17">
        <v>0</v>
      </c>
      <c r="C81" s="22" t="s">
        <v>249</v>
      </c>
      <c r="D81" s="5"/>
      <c r="E81" s="5"/>
      <c r="F81" s="5"/>
      <c r="G81" s="5"/>
      <c r="O81" s="179"/>
    </row>
    <row r="82" spans="1:20" s="9" customFormat="1" ht="17.25" customHeight="1" x14ac:dyDescent="0.2">
      <c r="A82" s="14" t="s">
        <v>278</v>
      </c>
      <c r="B82" s="18">
        <v>0</v>
      </c>
      <c r="C82" s="9" t="s">
        <v>301</v>
      </c>
      <c r="D82" s="5"/>
      <c r="E82" s="5"/>
      <c r="F82" s="5"/>
      <c r="G82" s="5"/>
      <c r="M82" s="5"/>
      <c r="O82" s="179"/>
      <c r="S82" s="5"/>
      <c r="T82" s="5"/>
    </row>
    <row r="83" spans="1:20" s="9" customFormat="1" ht="17.25" customHeight="1" x14ac:dyDescent="0.2">
      <c r="A83" s="5"/>
      <c r="B83" s="5"/>
      <c r="C83" s="5"/>
      <c r="D83" s="5"/>
      <c r="E83" s="5"/>
      <c r="F83" s="5"/>
      <c r="G83" s="5"/>
      <c r="L83" s="5"/>
      <c r="M83" s="5"/>
      <c r="O83" s="179"/>
    </row>
    <row r="84" spans="1:20" s="9" customFormat="1" ht="17.25" customHeight="1" x14ac:dyDescent="0.2">
      <c r="A84" s="5"/>
      <c r="B84" s="5"/>
      <c r="C84" s="5"/>
      <c r="D84" s="5"/>
      <c r="E84" s="5"/>
      <c r="F84" s="5"/>
      <c r="G84" s="5"/>
      <c r="M84" s="5"/>
      <c r="O84" s="179"/>
    </row>
    <row r="85" spans="1:20" s="9" customFormat="1" ht="17.25" customHeight="1" x14ac:dyDescent="0.2">
      <c r="A85" s="5"/>
      <c r="B85" s="5"/>
      <c r="C85" s="5"/>
      <c r="D85" s="5"/>
      <c r="E85" s="5"/>
      <c r="F85" s="5"/>
      <c r="G85" s="5"/>
      <c r="H85" s="5"/>
      <c r="I85" s="5"/>
      <c r="J85" s="5"/>
      <c r="K85" s="5"/>
      <c r="L85" s="5"/>
      <c r="M85" s="5"/>
      <c r="O85" s="179"/>
    </row>
    <row r="86" spans="1:20" s="9" customFormat="1" ht="17.25" customHeight="1" x14ac:dyDescent="0.2">
      <c r="A86" s="5"/>
      <c r="B86" s="5"/>
      <c r="C86" s="5"/>
      <c r="D86" s="5"/>
      <c r="E86" s="5"/>
      <c r="F86" s="5"/>
      <c r="G86" s="5"/>
      <c r="H86" s="5"/>
      <c r="I86" s="5"/>
      <c r="J86" s="5"/>
      <c r="K86" s="5"/>
      <c r="L86" s="5"/>
      <c r="M86" s="5"/>
      <c r="O86" s="179"/>
    </row>
    <row r="87" spans="1:20" s="9" customFormat="1" ht="17.25" customHeight="1" x14ac:dyDescent="0.2">
      <c r="A87" s="5"/>
      <c r="B87" s="5"/>
      <c r="C87" s="5"/>
      <c r="D87" s="5"/>
      <c r="E87" s="5"/>
      <c r="F87" s="5"/>
      <c r="G87" s="5"/>
      <c r="H87" s="5"/>
      <c r="I87" s="5"/>
      <c r="J87" s="5"/>
      <c r="K87" s="5"/>
      <c r="L87" s="5"/>
      <c r="M87" s="5"/>
      <c r="O87" s="179"/>
    </row>
    <row r="88" spans="1:20" s="9" customFormat="1" ht="17.25" customHeight="1" x14ac:dyDescent="0.2">
      <c r="A88" s="5"/>
      <c r="B88" s="5"/>
      <c r="C88" s="5"/>
      <c r="D88" s="5"/>
      <c r="E88" s="5"/>
      <c r="F88" s="5"/>
      <c r="G88" s="5"/>
      <c r="H88" s="5"/>
      <c r="I88" s="5"/>
      <c r="J88" s="5"/>
      <c r="K88" s="5"/>
      <c r="L88" s="5"/>
      <c r="M88" s="5"/>
      <c r="O88" s="179"/>
    </row>
    <row r="89" spans="1:20" s="9" customFormat="1" ht="17.25" customHeight="1" x14ac:dyDescent="0.2">
      <c r="A89" s="5"/>
      <c r="B89" s="5"/>
      <c r="C89" s="5"/>
      <c r="D89" s="5"/>
      <c r="E89" s="5"/>
      <c r="F89" s="5"/>
      <c r="G89" s="5"/>
      <c r="H89" s="5"/>
      <c r="I89" s="5"/>
      <c r="J89" s="5"/>
      <c r="K89" s="5"/>
      <c r="L89" s="5"/>
      <c r="M89" s="5"/>
      <c r="O89" s="179"/>
      <c r="P89" s="9">
        <f>1.481*1.1</f>
        <v>1.6291000000000002</v>
      </c>
    </row>
    <row r="90" spans="1:20" s="9" customFormat="1" ht="17.25" customHeight="1" x14ac:dyDescent="0.2">
      <c r="A90" s="5"/>
      <c r="B90" s="5"/>
      <c r="C90" s="5"/>
      <c r="D90" s="5"/>
      <c r="E90" s="5"/>
      <c r="F90" s="5"/>
      <c r="G90" s="5"/>
      <c r="H90" s="5"/>
      <c r="I90" s="5"/>
      <c r="J90" s="5"/>
      <c r="K90" s="5"/>
      <c r="L90" s="5"/>
      <c r="M90" s="5"/>
      <c r="O90" s="179"/>
    </row>
    <row r="91" spans="1:20" s="9" customFormat="1" ht="17.25" customHeight="1" x14ac:dyDescent="0.2">
      <c r="A91" s="5"/>
      <c r="B91" s="5"/>
      <c r="C91" s="5"/>
      <c r="D91" s="5"/>
      <c r="E91" s="5"/>
      <c r="F91" s="5"/>
      <c r="G91" s="5"/>
      <c r="H91" s="5"/>
      <c r="I91" s="5"/>
      <c r="J91" s="5"/>
      <c r="K91" s="5"/>
      <c r="L91" s="5"/>
      <c r="M91" s="5"/>
      <c r="O91" s="179"/>
    </row>
    <row r="92" spans="1:20" s="9" customFormat="1" ht="17.25" customHeight="1" x14ac:dyDescent="0.2">
      <c r="A92" s="5"/>
      <c r="B92" s="5"/>
      <c r="C92" s="5"/>
      <c r="D92" s="5"/>
      <c r="E92" s="5"/>
      <c r="F92" s="5"/>
      <c r="G92" s="5"/>
      <c r="H92" s="5"/>
      <c r="I92" s="5"/>
      <c r="J92" s="5"/>
      <c r="K92" s="5"/>
      <c r="L92" s="5"/>
      <c r="M92" s="5"/>
      <c r="O92" s="179"/>
      <c r="P92" s="9" t="s">
        <v>300</v>
      </c>
    </row>
    <row r="93" spans="1:20" s="9" customFormat="1" ht="17.25" customHeight="1" x14ac:dyDescent="0.2">
      <c r="A93" s="5"/>
      <c r="B93" s="5"/>
      <c r="C93" s="5"/>
      <c r="D93" s="5"/>
      <c r="E93" s="5"/>
      <c r="F93" s="5"/>
      <c r="G93" s="5"/>
      <c r="H93" s="5"/>
      <c r="I93" s="5"/>
      <c r="J93" s="5"/>
      <c r="K93" s="5"/>
      <c r="L93" s="5"/>
      <c r="M93" s="5"/>
      <c r="O93" s="179"/>
    </row>
    <row r="94" spans="1:20" s="9" customFormat="1" ht="17.25" customHeight="1" x14ac:dyDescent="0.2">
      <c r="A94" s="5"/>
      <c r="B94" s="5"/>
      <c r="C94" s="5"/>
      <c r="D94" s="5"/>
      <c r="E94" s="5"/>
      <c r="F94" s="5"/>
      <c r="G94" s="5"/>
      <c r="H94" s="5"/>
      <c r="I94" s="5"/>
      <c r="J94" s="5"/>
      <c r="K94" s="5"/>
      <c r="L94" s="5"/>
      <c r="M94" s="5"/>
      <c r="O94" s="179"/>
    </row>
    <row r="95" spans="1:20" ht="17.25" customHeight="1" x14ac:dyDescent="0.2">
      <c r="A95" s="13" t="s">
        <v>195</v>
      </c>
      <c r="C95" s="5"/>
      <c r="D95" s="5"/>
      <c r="E95" s="5"/>
      <c r="F95" s="5"/>
      <c r="G95" s="5"/>
      <c r="H95" s="269"/>
      <c r="I95" s="269"/>
      <c r="J95" s="5"/>
      <c r="K95" s="5"/>
      <c r="L95" s="5"/>
      <c r="M95" s="5"/>
    </row>
    <row r="96" spans="1:20" ht="17.25" customHeight="1" x14ac:dyDescent="0.2">
      <c r="A96" s="14" t="s">
        <v>193</v>
      </c>
      <c r="B96" s="17">
        <v>0.2</v>
      </c>
      <c r="C96" s="176" t="s">
        <v>477</v>
      </c>
      <c r="D96" s="9" t="s">
        <v>564</v>
      </c>
      <c r="H96" s="14" t="s">
        <v>192</v>
      </c>
      <c r="I96" s="17">
        <v>2.75</v>
      </c>
      <c r="J96" s="9" t="s">
        <v>568</v>
      </c>
    </row>
    <row r="97" spans="1:15" ht="17.25" customHeight="1" x14ac:dyDescent="0.2">
      <c r="A97" s="14" t="s">
        <v>219</v>
      </c>
      <c r="B97" s="17">
        <v>0.2</v>
      </c>
      <c r="C97" s="24" t="s">
        <v>223</v>
      </c>
      <c r="D97" s="9" t="s">
        <v>565</v>
      </c>
      <c r="H97" s="14" t="s">
        <v>224</v>
      </c>
      <c r="I97" s="17">
        <v>7.5</v>
      </c>
      <c r="J97" s="9" t="s">
        <v>569</v>
      </c>
      <c r="L97" s="10"/>
    </row>
    <row r="98" spans="1:15" ht="17.25" customHeight="1" x14ac:dyDescent="0.2">
      <c r="A98" s="14" t="s">
        <v>220</v>
      </c>
      <c r="B98" s="17">
        <v>0.1</v>
      </c>
      <c r="C98" s="177" t="s">
        <v>478</v>
      </c>
      <c r="D98" s="9" t="s">
        <v>566</v>
      </c>
      <c r="I98" s="10"/>
      <c r="J98" s="10"/>
      <c r="K98" s="10"/>
      <c r="L98" s="10"/>
      <c r="O98" s="10"/>
    </row>
    <row r="99" spans="1:15" ht="17.25" customHeight="1" x14ac:dyDescent="0.2">
      <c r="A99" s="14" t="s">
        <v>221</v>
      </c>
      <c r="B99" s="17">
        <v>0.25</v>
      </c>
      <c r="C99" s="178" t="s">
        <v>222</v>
      </c>
      <c r="D99" s="9" t="s">
        <v>567</v>
      </c>
      <c r="O99" s="10"/>
    </row>
    <row r="100" spans="1:15" ht="17.25" customHeight="1" x14ac:dyDescent="0.2">
      <c r="A100" s="14" t="s">
        <v>558</v>
      </c>
      <c r="B100" s="17" t="s">
        <v>559</v>
      </c>
      <c r="C100" s="221" t="s">
        <v>560</v>
      </c>
      <c r="D100" s="9" t="s">
        <v>561</v>
      </c>
      <c r="E100" s="10"/>
      <c r="F100" s="10"/>
      <c r="G100" s="10"/>
      <c r="H100" s="10"/>
      <c r="J100" s="25"/>
      <c r="K100" s="25"/>
      <c r="L100" s="25"/>
    </row>
    <row r="101" spans="1:15" ht="17.25" customHeight="1" x14ac:dyDescent="0.2">
      <c r="A101" s="14" t="s">
        <v>570</v>
      </c>
      <c r="B101" s="17">
        <v>4.5999999999999996</v>
      </c>
      <c r="C101" s="222" t="s">
        <v>562</v>
      </c>
      <c r="D101" s="9" t="s">
        <v>563</v>
      </c>
      <c r="E101" s="10"/>
      <c r="F101" s="10"/>
      <c r="G101" s="10"/>
      <c r="H101" s="10"/>
      <c r="J101" s="25"/>
      <c r="K101" s="25"/>
      <c r="L101" s="25"/>
      <c r="M101" s="25"/>
    </row>
    <row r="102" spans="1:15" ht="17.25" customHeight="1" x14ac:dyDescent="0.2">
      <c r="A102" s="14" t="s">
        <v>584</v>
      </c>
      <c r="B102" s="17">
        <v>0.35</v>
      </c>
      <c r="C102" s="250" t="s">
        <v>585</v>
      </c>
      <c r="D102" s="10" t="s">
        <v>586</v>
      </c>
      <c r="E102" s="10"/>
      <c r="F102" s="10"/>
      <c r="G102" s="10"/>
      <c r="H102" s="10"/>
      <c r="J102" s="25"/>
      <c r="K102" s="25"/>
      <c r="L102" s="25"/>
      <c r="M102" s="25"/>
    </row>
    <row r="103" spans="1:15" ht="17.25" customHeight="1" x14ac:dyDescent="0.2">
      <c r="A103" s="10"/>
      <c r="B103" s="10"/>
      <c r="C103" s="10"/>
      <c r="D103" s="10"/>
      <c r="E103" s="10"/>
      <c r="F103" s="10"/>
      <c r="G103" s="10"/>
      <c r="H103" s="10"/>
      <c r="J103" s="25"/>
      <c r="K103" s="25"/>
      <c r="L103" s="25"/>
      <c r="M103" s="25"/>
    </row>
    <row r="104" spans="1:15" ht="17.25" customHeight="1" x14ac:dyDescent="0.2">
      <c r="A104" s="25"/>
      <c r="B104" s="25"/>
      <c r="D104" s="25"/>
      <c r="E104" s="25"/>
      <c r="F104" s="25"/>
      <c r="G104" s="25"/>
      <c r="H104" s="26"/>
      <c r="J104" s="25"/>
      <c r="K104" s="25"/>
      <c r="L104" s="25"/>
      <c r="M104" s="25"/>
    </row>
    <row r="105" spans="1:15" ht="17.25" customHeight="1" x14ac:dyDescent="0.2">
      <c r="A105" s="25"/>
      <c r="B105" s="25"/>
      <c r="D105" s="25"/>
      <c r="E105" s="25"/>
      <c r="F105" s="25"/>
      <c r="G105" s="25"/>
      <c r="H105" s="26"/>
      <c r="J105" s="25"/>
      <c r="K105" s="25"/>
      <c r="L105" s="25"/>
      <c r="M105" s="25"/>
    </row>
    <row r="106" spans="1:15" ht="17.25" customHeight="1" x14ac:dyDescent="0.2">
      <c r="A106" s="25"/>
      <c r="B106" s="25"/>
      <c r="D106" s="25"/>
      <c r="E106" s="25"/>
      <c r="F106" s="25"/>
      <c r="G106" s="25"/>
      <c r="H106" s="26"/>
      <c r="J106" s="25"/>
      <c r="K106" s="25"/>
      <c r="L106" s="25"/>
      <c r="M106" s="25"/>
    </row>
    <row r="107" spans="1:15" ht="17.25" customHeight="1" x14ac:dyDescent="0.2">
      <c r="A107" s="25"/>
      <c r="B107" s="25"/>
      <c r="D107" s="25"/>
      <c r="E107" s="25"/>
      <c r="F107" s="25"/>
      <c r="G107" s="25"/>
      <c r="H107" s="26"/>
      <c r="J107" s="25"/>
      <c r="K107" s="25"/>
      <c r="L107" s="25"/>
      <c r="M107" s="25"/>
    </row>
    <row r="108" spans="1:15" ht="17.25" customHeight="1" x14ac:dyDescent="0.2">
      <c r="A108" s="25"/>
      <c r="B108" s="25"/>
      <c r="D108" s="25"/>
      <c r="E108" s="25"/>
      <c r="F108" s="25"/>
      <c r="G108" s="25"/>
      <c r="H108" s="26"/>
      <c r="J108" s="25"/>
      <c r="K108" s="25"/>
      <c r="L108" s="25"/>
      <c r="M108" s="25"/>
    </row>
    <row r="109" spans="1:15" ht="17.25" customHeight="1" x14ac:dyDescent="0.2">
      <c r="A109" s="25"/>
      <c r="B109" s="25"/>
      <c r="D109" s="25"/>
      <c r="E109" s="25"/>
      <c r="F109" s="25"/>
      <c r="G109" s="25"/>
      <c r="H109" s="26"/>
      <c r="J109" s="25"/>
      <c r="K109" s="25"/>
      <c r="L109" s="25"/>
      <c r="M109" s="25"/>
    </row>
    <row r="110" spans="1:15" ht="17.25" customHeight="1" x14ac:dyDescent="0.2">
      <c r="A110" s="25"/>
      <c r="B110" s="25"/>
      <c r="D110" s="25"/>
      <c r="E110" s="25"/>
      <c r="F110" s="25"/>
      <c r="G110" s="25"/>
      <c r="H110" s="26"/>
      <c r="J110" s="25"/>
      <c r="K110" s="25"/>
      <c r="L110" s="25"/>
      <c r="M110" s="25"/>
    </row>
    <row r="111" spans="1:15" ht="17.25" customHeight="1" x14ac:dyDescent="0.2">
      <c r="A111" s="25"/>
      <c r="B111" s="25"/>
      <c r="D111" s="25"/>
      <c r="E111" s="25"/>
      <c r="F111" s="25"/>
      <c r="G111" s="25"/>
      <c r="H111" s="26"/>
      <c r="J111" s="25"/>
      <c r="K111" s="25"/>
      <c r="L111" s="25"/>
      <c r="M111" s="25"/>
    </row>
    <row r="112" spans="1:15" ht="17.25" customHeight="1" x14ac:dyDescent="0.2">
      <c r="A112" s="25"/>
      <c r="B112" s="25"/>
      <c r="D112" s="25"/>
      <c r="E112" s="25"/>
      <c r="F112" s="25"/>
      <c r="G112" s="25"/>
      <c r="H112" s="26"/>
      <c r="J112" s="25"/>
      <c r="K112" s="25"/>
      <c r="L112" s="25"/>
      <c r="M112" s="25"/>
    </row>
    <row r="113" spans="1:13" ht="17.25" customHeight="1" x14ac:dyDescent="0.2">
      <c r="A113" s="25"/>
      <c r="B113" s="25"/>
      <c r="D113" s="25"/>
      <c r="E113" s="25"/>
      <c r="F113" s="25"/>
      <c r="G113" s="25"/>
      <c r="H113" s="26"/>
      <c r="J113" s="25"/>
      <c r="K113" s="25"/>
      <c r="L113" s="25"/>
      <c r="M113" s="25"/>
    </row>
    <row r="114" spans="1:13" ht="17.25" customHeight="1" x14ac:dyDescent="0.2">
      <c r="A114" s="25"/>
      <c r="B114" s="25"/>
      <c r="D114" s="25"/>
      <c r="E114" s="25"/>
      <c r="F114" s="25"/>
      <c r="G114" s="25"/>
      <c r="H114" s="26"/>
      <c r="J114" s="25"/>
      <c r="K114" s="25"/>
      <c r="L114" s="25"/>
      <c r="M114" s="25"/>
    </row>
    <row r="115" spans="1:13" ht="17.25" customHeight="1" x14ac:dyDescent="0.2">
      <c r="A115" s="25"/>
      <c r="B115" s="25"/>
      <c r="D115" s="25"/>
      <c r="E115" s="25"/>
      <c r="F115" s="25"/>
      <c r="G115" s="25"/>
      <c r="H115" s="26"/>
      <c r="J115" s="25"/>
      <c r="K115" s="25"/>
      <c r="L115" s="25"/>
      <c r="M115" s="25"/>
    </row>
    <row r="116" spans="1:13" ht="17.25" customHeight="1" x14ac:dyDescent="0.2">
      <c r="A116" s="25"/>
      <c r="B116" s="25"/>
      <c r="D116" s="25"/>
      <c r="E116" s="25"/>
      <c r="F116" s="25"/>
      <c r="G116" s="25"/>
      <c r="H116" s="26"/>
      <c r="J116" s="25"/>
      <c r="K116" s="25"/>
      <c r="L116" s="25"/>
      <c r="M116" s="25"/>
    </row>
    <row r="117" spans="1:13" ht="17.25" customHeight="1" x14ac:dyDescent="0.2">
      <c r="A117" s="25"/>
      <c r="B117" s="25"/>
      <c r="D117" s="25"/>
      <c r="E117" s="25"/>
      <c r="F117" s="25"/>
      <c r="G117" s="25"/>
      <c r="H117" s="26"/>
      <c r="J117" s="25"/>
      <c r="K117" s="25"/>
      <c r="L117" s="25"/>
      <c r="M117" s="25"/>
    </row>
    <row r="118" spans="1:13" ht="17.25" customHeight="1" x14ac:dyDescent="0.2">
      <c r="A118" s="25"/>
      <c r="B118" s="25"/>
      <c r="D118" s="25"/>
      <c r="E118" s="25"/>
      <c r="F118" s="25"/>
      <c r="G118" s="25"/>
      <c r="H118" s="26"/>
      <c r="J118" s="25"/>
      <c r="K118" s="25"/>
      <c r="L118" s="25"/>
      <c r="M118" s="25"/>
    </row>
    <row r="119" spans="1:13" ht="17.25" customHeight="1" x14ac:dyDescent="0.2">
      <c r="A119" s="25"/>
      <c r="B119" s="25"/>
      <c r="D119" s="25"/>
      <c r="E119" s="25"/>
      <c r="F119" s="25"/>
      <c r="G119" s="25"/>
      <c r="H119" s="26"/>
      <c r="J119" s="25"/>
      <c r="K119" s="25"/>
      <c r="L119" s="25"/>
      <c r="M119" s="25"/>
    </row>
    <row r="120" spans="1:13" ht="17.25" customHeight="1" x14ac:dyDescent="0.2">
      <c r="A120" s="25"/>
      <c r="B120" s="25"/>
      <c r="D120" s="25"/>
      <c r="E120" s="25"/>
      <c r="F120" s="25"/>
      <c r="G120" s="25"/>
      <c r="H120" s="26"/>
      <c r="J120" s="25"/>
      <c r="K120" s="25"/>
      <c r="L120" s="25"/>
      <c r="M120" s="25"/>
    </row>
    <row r="121" spans="1:13" ht="17.25" customHeight="1" x14ac:dyDescent="0.2">
      <c r="A121" s="25"/>
      <c r="B121" s="25"/>
      <c r="D121" s="25"/>
      <c r="E121" s="25"/>
      <c r="F121" s="25"/>
      <c r="G121" s="25"/>
      <c r="H121" s="26"/>
      <c r="J121" s="25"/>
      <c r="K121" s="25"/>
      <c r="L121" s="25"/>
      <c r="M121" s="25"/>
    </row>
    <row r="122" spans="1:13" ht="17.25" customHeight="1" x14ac:dyDescent="0.2">
      <c r="A122" s="25"/>
      <c r="B122" s="25"/>
      <c r="D122" s="25"/>
      <c r="E122" s="25"/>
      <c r="F122" s="25"/>
      <c r="G122" s="25"/>
      <c r="H122" s="26"/>
      <c r="J122" s="25"/>
      <c r="K122" s="25"/>
      <c r="L122" s="25"/>
      <c r="M122" s="25"/>
    </row>
    <row r="123" spans="1:13" ht="17.25" customHeight="1" x14ac:dyDescent="0.2">
      <c r="A123" s="25"/>
      <c r="B123" s="25"/>
      <c r="D123" s="25"/>
      <c r="E123" s="25"/>
      <c r="F123" s="25"/>
      <c r="G123" s="25"/>
      <c r="H123" s="26"/>
      <c r="J123" s="25"/>
      <c r="K123" s="25"/>
      <c r="L123" s="25"/>
      <c r="M123" s="25"/>
    </row>
    <row r="124" spans="1:13" ht="17.25" customHeight="1" x14ac:dyDescent="0.2">
      <c r="A124" s="25"/>
      <c r="B124" s="25"/>
      <c r="D124" s="25"/>
      <c r="E124" s="25"/>
      <c r="F124" s="25"/>
      <c r="G124" s="25"/>
      <c r="H124" s="26"/>
      <c r="J124" s="25"/>
      <c r="K124" s="25"/>
      <c r="L124" s="25"/>
      <c r="M124" s="25"/>
    </row>
    <row r="125" spans="1:13" ht="17.25" customHeight="1" x14ac:dyDescent="0.2">
      <c r="A125" s="25"/>
      <c r="B125" s="25"/>
      <c r="D125" s="25"/>
      <c r="E125" s="25"/>
      <c r="F125" s="25"/>
      <c r="G125" s="25"/>
      <c r="H125" s="26"/>
      <c r="J125" s="25"/>
      <c r="K125" s="25"/>
      <c r="L125" s="25"/>
      <c r="M125" s="25"/>
    </row>
    <row r="126" spans="1:13" ht="17.25" customHeight="1" x14ac:dyDescent="0.2">
      <c r="A126" s="25"/>
      <c r="B126" s="25"/>
      <c r="D126" s="25"/>
      <c r="E126" s="25"/>
      <c r="F126" s="25"/>
      <c r="G126" s="25"/>
      <c r="H126" s="26"/>
      <c r="J126" s="25"/>
      <c r="K126" s="25"/>
      <c r="L126" s="25"/>
      <c r="M126" s="25"/>
    </row>
    <row r="127" spans="1:13" ht="17.25" customHeight="1" x14ac:dyDescent="0.2">
      <c r="A127" s="25"/>
      <c r="B127" s="25"/>
      <c r="D127" s="25"/>
      <c r="E127" s="25"/>
      <c r="F127" s="25"/>
      <c r="G127" s="25"/>
      <c r="H127" s="26"/>
      <c r="J127" s="25"/>
      <c r="K127" s="25"/>
      <c r="L127" s="25"/>
      <c r="M127" s="25"/>
    </row>
    <row r="128" spans="1:13" ht="12" customHeight="1" x14ac:dyDescent="0.2">
      <c r="A128" s="25"/>
      <c r="B128" s="25"/>
      <c r="D128" s="25"/>
      <c r="E128" s="25"/>
      <c r="F128" s="25"/>
      <c r="G128" s="25"/>
      <c r="H128" s="26"/>
      <c r="J128" s="25"/>
      <c r="K128" s="25"/>
      <c r="L128" s="25"/>
      <c r="M128" s="25"/>
    </row>
    <row r="129" spans="1:15" s="9" customFormat="1" ht="17.25" customHeight="1" x14ac:dyDescent="0.2">
      <c r="A129" s="112" t="s">
        <v>450</v>
      </c>
      <c r="B129" s="7"/>
      <c r="C129" s="7"/>
      <c r="D129" s="8"/>
      <c r="E129" s="8"/>
      <c r="F129" s="8"/>
      <c r="G129" s="8"/>
      <c r="O129" s="179"/>
    </row>
    <row r="130" spans="1:15" s="9" customFormat="1" ht="17.25" customHeight="1" x14ac:dyDescent="0.2">
      <c r="A130" s="9" t="s">
        <v>461</v>
      </c>
      <c r="B130" s="7"/>
      <c r="C130" s="7"/>
      <c r="D130" s="8"/>
      <c r="E130" s="8"/>
      <c r="F130" s="8"/>
      <c r="G130" s="8"/>
      <c r="O130" s="179"/>
    </row>
    <row r="131" spans="1:15" s="9" customFormat="1" ht="17.25" customHeight="1" x14ac:dyDescent="0.2">
      <c r="A131" s="28" t="s">
        <v>451</v>
      </c>
      <c r="B131" s="9" t="s">
        <v>23</v>
      </c>
      <c r="C131" s="206"/>
      <c r="D131" s="8"/>
      <c r="E131" s="8"/>
      <c r="F131" s="8"/>
      <c r="G131" s="8"/>
      <c r="O131" s="179"/>
    </row>
    <row r="132" spans="1:15" s="9" customFormat="1" ht="17.25" customHeight="1" x14ac:dyDescent="0.2">
      <c r="A132" s="28" t="s">
        <v>451</v>
      </c>
      <c r="B132" s="9" t="s">
        <v>24</v>
      </c>
      <c r="C132" s="206"/>
      <c r="D132" s="8"/>
      <c r="E132" s="8"/>
      <c r="F132" s="8"/>
      <c r="G132" s="8"/>
      <c r="O132" s="179"/>
    </row>
    <row r="133" spans="1:15" s="9" customFormat="1" ht="17.25" customHeight="1" x14ac:dyDescent="0.2">
      <c r="A133" s="28" t="s">
        <v>451</v>
      </c>
      <c r="B133" s="9" t="s">
        <v>25</v>
      </c>
      <c r="C133" s="206"/>
      <c r="D133" s="8"/>
      <c r="E133" s="8"/>
      <c r="F133" s="8"/>
      <c r="G133" s="8"/>
      <c r="O133" s="179"/>
    </row>
    <row r="134" spans="1:15" s="9" customFormat="1" ht="17.25" customHeight="1" x14ac:dyDescent="0.2">
      <c r="B134" s="9" t="s">
        <v>26</v>
      </c>
      <c r="C134" s="206"/>
      <c r="D134" s="8"/>
      <c r="E134" s="8"/>
      <c r="G134" s="8"/>
      <c r="O134" s="179"/>
    </row>
    <row r="135" spans="1:15" s="9" customFormat="1" ht="17.25" customHeight="1" x14ac:dyDescent="0.2">
      <c r="A135" s="28" t="s">
        <v>451</v>
      </c>
      <c r="B135" s="9" t="s">
        <v>446</v>
      </c>
      <c r="C135" s="206"/>
      <c r="D135" s="8"/>
      <c r="E135" s="8"/>
      <c r="F135" s="8"/>
      <c r="G135" s="8"/>
      <c r="O135" s="179"/>
    </row>
    <row r="136" spans="1:15" s="9" customFormat="1" ht="17.25" customHeight="1" x14ac:dyDescent="0.2">
      <c r="A136" s="171"/>
      <c r="B136" s="170"/>
      <c r="C136" s="7"/>
      <c r="D136" s="8"/>
      <c r="E136" s="8"/>
      <c r="F136" s="8"/>
      <c r="G136" s="8"/>
      <c r="O136" s="179"/>
    </row>
    <row r="137" spans="1:15" s="9" customFormat="1" ht="17.25" customHeight="1" x14ac:dyDescent="0.2">
      <c r="A137" s="50" t="s">
        <v>462</v>
      </c>
      <c r="C137" s="7"/>
      <c r="D137" s="8"/>
      <c r="E137" s="8"/>
      <c r="F137" s="8"/>
      <c r="G137" s="8"/>
      <c r="O137" s="179"/>
    </row>
    <row r="138" spans="1:15" s="9" customFormat="1" ht="17.25" customHeight="1" x14ac:dyDescent="0.2">
      <c r="A138" s="28" t="s">
        <v>451</v>
      </c>
      <c r="B138" s="9" t="s">
        <v>445</v>
      </c>
      <c r="C138" s="206"/>
      <c r="D138" s="8"/>
      <c r="E138" s="8"/>
      <c r="F138" s="8"/>
      <c r="G138" s="8"/>
      <c r="O138" s="179"/>
    </row>
    <row r="139" spans="1:15" s="9" customFormat="1" ht="17.25" customHeight="1" x14ac:dyDescent="0.2">
      <c r="A139" s="28" t="s">
        <v>451</v>
      </c>
      <c r="B139" s="9" t="s">
        <v>444</v>
      </c>
      <c r="C139" s="206"/>
      <c r="D139" s="8"/>
      <c r="E139" s="8"/>
      <c r="F139" s="8"/>
      <c r="G139" s="8"/>
      <c r="O139" s="179"/>
    </row>
    <row r="140" spans="1:15" s="9" customFormat="1" ht="17.25" customHeight="1" x14ac:dyDescent="0.2">
      <c r="A140" s="28" t="s">
        <v>451</v>
      </c>
      <c r="B140" s="22" t="s">
        <v>443</v>
      </c>
      <c r="C140" s="206"/>
      <c r="D140" s="8"/>
      <c r="E140" s="8"/>
      <c r="F140" s="8"/>
      <c r="G140" s="8"/>
      <c r="O140" s="179"/>
    </row>
    <row r="141" spans="1:15" s="9" customFormat="1" ht="17.25" customHeight="1" x14ac:dyDescent="0.2">
      <c r="A141" s="28" t="s">
        <v>451</v>
      </c>
      <c r="B141" s="22" t="s">
        <v>442</v>
      </c>
      <c r="C141" s="206"/>
      <c r="D141" s="8"/>
      <c r="E141" s="8"/>
      <c r="F141" s="8"/>
      <c r="G141" s="8"/>
      <c r="O141" s="179"/>
    </row>
    <row r="142" spans="1:15" s="9" customFormat="1" ht="17.25" customHeight="1" x14ac:dyDescent="0.2">
      <c r="A142" s="28" t="s">
        <v>451</v>
      </c>
      <c r="B142" s="22" t="s">
        <v>440</v>
      </c>
      <c r="C142" s="206"/>
      <c r="D142" s="8"/>
      <c r="E142" s="8"/>
      <c r="F142" s="8"/>
      <c r="G142" s="8"/>
      <c r="O142" s="179"/>
    </row>
    <row r="143" spans="1:15" s="9" customFormat="1" ht="17.25" customHeight="1" x14ac:dyDescent="0.2">
      <c r="A143" s="28"/>
      <c r="B143" s="22" t="s">
        <v>441</v>
      </c>
      <c r="C143" s="206"/>
      <c r="D143" s="8"/>
      <c r="E143" s="8"/>
      <c r="F143" s="8"/>
      <c r="G143" s="8"/>
      <c r="O143" s="179"/>
    </row>
    <row r="144" spans="1:15" s="9" customFormat="1" ht="17.25" customHeight="1" x14ac:dyDescent="0.2">
      <c r="A144" s="28" t="s">
        <v>451</v>
      </c>
      <c r="B144" s="22" t="s">
        <v>447</v>
      </c>
      <c r="C144" s="206"/>
      <c r="D144" s="8"/>
      <c r="E144" s="8"/>
      <c r="F144" s="8"/>
      <c r="G144" s="8"/>
      <c r="O144" s="179"/>
    </row>
    <row r="145" spans="1:15" s="9" customFormat="1" ht="17.25" customHeight="1" x14ac:dyDescent="0.2">
      <c r="A145" s="28" t="s">
        <v>451</v>
      </c>
      <c r="B145" s="22" t="s">
        <v>448</v>
      </c>
      <c r="C145" s="206"/>
      <c r="D145" s="8"/>
      <c r="E145" s="8"/>
      <c r="F145" s="8"/>
      <c r="G145" s="8"/>
      <c r="O145" s="179"/>
    </row>
    <row r="146" spans="1:15" s="9" customFormat="1" ht="17.25" customHeight="1" x14ac:dyDescent="0.2">
      <c r="A146" s="28"/>
      <c r="B146" s="22" t="s">
        <v>449</v>
      </c>
      <c r="C146" s="206"/>
      <c r="D146" s="8"/>
      <c r="E146" s="8"/>
      <c r="F146" s="8"/>
      <c r="G146" s="8"/>
      <c r="O146" s="179"/>
    </row>
    <row r="147" spans="1:15" ht="17.25" customHeight="1" x14ac:dyDescent="0.2">
      <c r="A147" s="25"/>
      <c r="B147" s="25"/>
      <c r="D147" s="25"/>
      <c r="E147" s="25"/>
      <c r="F147" s="25"/>
      <c r="G147" s="25"/>
      <c r="H147" s="26"/>
      <c r="J147" s="25"/>
      <c r="K147" s="25"/>
      <c r="L147" s="25"/>
      <c r="M147" s="25"/>
    </row>
    <row r="148" spans="1:15" ht="17.25" customHeight="1" x14ac:dyDescent="0.2">
      <c r="A148" s="112" t="s">
        <v>455</v>
      </c>
      <c r="B148" s="7"/>
      <c r="C148" s="7"/>
      <c r="D148" s="8"/>
      <c r="E148" s="8"/>
      <c r="F148" s="8"/>
      <c r="G148" s="8"/>
    </row>
    <row r="149" spans="1:15" ht="17.25" customHeight="1" x14ac:dyDescent="0.2">
      <c r="A149" s="13" t="s">
        <v>452</v>
      </c>
      <c r="B149" s="5"/>
      <c r="C149" s="5"/>
      <c r="D149" s="5"/>
      <c r="E149" s="5"/>
      <c r="F149" s="5"/>
      <c r="G149" s="5"/>
      <c r="H149" s="5"/>
      <c r="I149" s="5"/>
      <c r="J149" s="5"/>
      <c r="K149" s="5"/>
      <c r="L149" s="5"/>
      <c r="M149" s="5"/>
    </row>
    <row r="150" spans="1:15" ht="17.25" customHeight="1" x14ac:dyDescent="0.2">
      <c r="A150" s="50" t="s">
        <v>436</v>
      </c>
      <c r="B150" s="5"/>
      <c r="C150" s="5"/>
      <c r="D150" s="5"/>
      <c r="E150" s="5"/>
      <c r="F150" s="5"/>
      <c r="G150" s="5"/>
      <c r="H150" s="5"/>
      <c r="I150" s="5"/>
      <c r="J150" s="5"/>
      <c r="K150" s="5"/>
      <c r="L150" s="5"/>
      <c r="M150" s="5"/>
    </row>
    <row r="151" spans="1:15" ht="17.25" customHeight="1" x14ac:dyDescent="0.2">
      <c r="A151" s="50" t="s">
        <v>437</v>
      </c>
      <c r="B151" s="5"/>
      <c r="C151" s="5"/>
      <c r="D151" s="5"/>
      <c r="E151" s="5"/>
      <c r="F151" s="5"/>
      <c r="G151" s="5"/>
      <c r="H151" s="5"/>
      <c r="I151" s="5"/>
      <c r="J151" s="5"/>
      <c r="K151" s="5"/>
      <c r="L151" s="5"/>
      <c r="M151" s="5"/>
    </row>
    <row r="152" spans="1:15" ht="17.25" customHeight="1" x14ac:dyDescent="0.2">
      <c r="A152" s="50"/>
      <c r="B152" s="5"/>
      <c r="C152" s="5"/>
      <c r="D152" s="5"/>
      <c r="E152" s="5"/>
      <c r="F152" s="5"/>
      <c r="G152" s="5"/>
      <c r="H152" s="5"/>
      <c r="I152" s="5"/>
      <c r="J152" s="5"/>
      <c r="K152" s="5"/>
      <c r="L152" s="5"/>
      <c r="M152" s="5"/>
    </row>
    <row r="153" spans="1:15" ht="17.25" customHeight="1" x14ac:dyDescent="0.2">
      <c r="A153" s="117" t="s">
        <v>454</v>
      </c>
      <c r="B153" s="5"/>
      <c r="C153" s="5"/>
      <c r="D153" s="5"/>
      <c r="E153" s="5"/>
      <c r="F153" s="5"/>
      <c r="G153" s="5"/>
      <c r="H153" s="5"/>
      <c r="I153" s="5"/>
      <c r="J153" s="5"/>
      <c r="K153" s="5"/>
      <c r="L153" s="5"/>
      <c r="M153" s="5"/>
    </row>
    <row r="154" spans="1:15" ht="17.25" customHeight="1" x14ac:dyDescent="0.2">
      <c r="A154" s="3" t="s">
        <v>256</v>
      </c>
      <c r="B154" s="5"/>
      <c r="C154" s="5"/>
      <c r="D154" s="5"/>
      <c r="E154" s="5"/>
      <c r="F154" s="5"/>
      <c r="G154" s="5"/>
      <c r="H154" s="5"/>
      <c r="I154" s="5"/>
      <c r="J154" s="5"/>
      <c r="K154" s="5"/>
      <c r="L154" s="5"/>
      <c r="M154" s="5"/>
    </row>
    <row r="155" spans="1:15" ht="17.25" customHeight="1" x14ac:dyDescent="0.2">
      <c r="A155" s="3" t="s">
        <v>257</v>
      </c>
      <c r="B155" s="5"/>
      <c r="C155" s="5"/>
      <c r="D155" s="5"/>
      <c r="E155" s="5"/>
      <c r="F155" s="5"/>
      <c r="G155" s="5"/>
      <c r="H155" s="5"/>
      <c r="I155" s="5"/>
      <c r="J155" s="5"/>
      <c r="K155" s="5"/>
      <c r="L155" s="5"/>
      <c r="M155" s="5"/>
    </row>
    <row r="156" spans="1:15" ht="17.25" customHeight="1" x14ac:dyDescent="0.2">
      <c r="A156" s="3" t="s">
        <v>438</v>
      </c>
      <c r="B156" s="5"/>
      <c r="C156" s="5"/>
      <c r="D156" s="5"/>
      <c r="E156" s="5"/>
      <c r="F156" s="5"/>
      <c r="G156" s="5"/>
      <c r="H156" s="5"/>
      <c r="I156" s="5"/>
      <c r="J156" s="5"/>
      <c r="K156" s="5"/>
      <c r="L156" s="5"/>
      <c r="M156" s="5"/>
    </row>
    <row r="157" spans="1:15" ht="17.25" customHeight="1" x14ac:dyDescent="0.2">
      <c r="A157" s="3"/>
      <c r="B157" s="5"/>
      <c r="C157" s="5"/>
      <c r="D157" s="5"/>
      <c r="E157" s="5"/>
      <c r="F157" s="5"/>
      <c r="G157" s="5"/>
      <c r="H157" s="5"/>
      <c r="I157" s="5"/>
      <c r="J157" s="5"/>
      <c r="K157" s="5"/>
      <c r="L157" s="5"/>
      <c r="M157" s="5"/>
    </row>
    <row r="158" spans="1:15" ht="17.25" customHeight="1" x14ac:dyDescent="0.2">
      <c r="A158" s="10"/>
      <c r="B158" s="5"/>
      <c r="C158" s="5"/>
      <c r="D158" s="5"/>
      <c r="E158" s="5"/>
      <c r="F158" s="5"/>
      <c r="G158" s="5"/>
      <c r="H158" s="5"/>
      <c r="I158" s="5"/>
      <c r="J158" s="5"/>
      <c r="K158" s="5"/>
      <c r="L158" s="5"/>
      <c r="M158" s="5"/>
    </row>
    <row r="159" spans="1:15" ht="17.25" customHeight="1" x14ac:dyDescent="0.2">
      <c r="A159" s="10"/>
      <c r="B159" s="5"/>
      <c r="C159" s="5"/>
      <c r="D159" s="5"/>
      <c r="E159" s="5"/>
      <c r="F159" s="5"/>
      <c r="G159" s="5"/>
      <c r="H159" s="5"/>
      <c r="I159" s="5"/>
      <c r="J159" s="5"/>
      <c r="K159" s="5"/>
      <c r="L159" s="5"/>
      <c r="M159" s="5"/>
    </row>
    <row r="160" spans="1:15" ht="17.25" customHeight="1" x14ac:dyDescent="0.2">
      <c r="A160" s="10"/>
      <c r="B160" s="5"/>
      <c r="C160" s="5"/>
      <c r="D160" s="5"/>
      <c r="E160" s="5"/>
      <c r="F160" s="5"/>
      <c r="G160" s="5"/>
      <c r="H160" s="5"/>
      <c r="I160" s="5"/>
      <c r="J160" s="5"/>
      <c r="K160" s="5"/>
      <c r="L160" s="5"/>
      <c r="M160" s="5"/>
    </row>
    <row r="161" spans="1:13" ht="17.25" customHeight="1" x14ac:dyDescent="0.2">
      <c r="A161" s="10"/>
      <c r="B161" s="5"/>
      <c r="C161" s="5"/>
      <c r="D161" s="5"/>
      <c r="E161" s="5"/>
      <c r="F161" s="5"/>
      <c r="G161" s="5"/>
      <c r="H161" s="5"/>
      <c r="I161" s="5"/>
      <c r="J161" s="5"/>
      <c r="K161" s="5"/>
      <c r="L161" s="5"/>
      <c r="M161" s="5"/>
    </row>
    <row r="162" spans="1:13" ht="17.25" customHeight="1" x14ac:dyDescent="0.2">
      <c r="A162" s="10"/>
      <c r="B162" s="5"/>
      <c r="C162" s="5"/>
      <c r="D162" s="5"/>
      <c r="E162" s="5"/>
      <c r="F162" s="5"/>
      <c r="G162" s="5"/>
      <c r="H162" s="5"/>
      <c r="I162" s="5"/>
      <c r="J162" s="5"/>
      <c r="K162" s="5"/>
      <c r="L162" s="5"/>
      <c r="M162" s="5"/>
    </row>
    <row r="163" spans="1:13" ht="17.25" customHeight="1" x14ac:dyDescent="0.2">
      <c r="A163" s="10"/>
      <c r="B163" s="5"/>
      <c r="C163" s="5"/>
      <c r="D163" s="5"/>
      <c r="E163" s="5"/>
      <c r="F163" s="5"/>
      <c r="G163" s="5"/>
      <c r="H163" s="5"/>
      <c r="I163" s="5"/>
      <c r="J163" s="5"/>
      <c r="K163" s="5"/>
      <c r="L163" s="5"/>
      <c r="M163" s="5"/>
    </row>
    <row r="164" spans="1:13" ht="17.25" customHeight="1" x14ac:dyDescent="0.2">
      <c r="A164" s="10"/>
      <c r="B164" s="5"/>
      <c r="C164" s="5"/>
      <c r="D164" s="5"/>
      <c r="E164" s="5"/>
      <c r="F164" s="5"/>
      <c r="G164" s="5"/>
      <c r="H164" s="5"/>
      <c r="I164" s="5"/>
      <c r="J164" s="5"/>
      <c r="K164" s="5"/>
      <c r="L164" s="5"/>
      <c r="M164" s="5"/>
    </row>
    <row r="165" spans="1:13" ht="17.25" customHeight="1" x14ac:dyDescent="0.2">
      <c r="A165" s="10"/>
      <c r="B165" s="5"/>
      <c r="C165" s="5"/>
      <c r="D165" s="5"/>
      <c r="E165" s="5"/>
      <c r="F165" s="5"/>
      <c r="G165" s="5"/>
      <c r="H165" s="5"/>
      <c r="I165" s="5"/>
      <c r="J165" s="5"/>
      <c r="K165" s="5"/>
      <c r="L165" s="5"/>
      <c r="M165" s="5"/>
    </row>
    <row r="166" spans="1:13" ht="17.25" customHeight="1" x14ac:dyDescent="0.2">
      <c r="A166" s="10"/>
      <c r="B166" s="5"/>
      <c r="C166" s="5"/>
      <c r="D166" s="5"/>
      <c r="E166" s="5"/>
      <c r="F166" s="5"/>
      <c r="G166" s="5"/>
      <c r="H166" s="5"/>
      <c r="I166" s="5"/>
      <c r="J166" s="5"/>
      <c r="K166" s="5"/>
      <c r="L166" s="5"/>
      <c r="M166" s="5"/>
    </row>
    <row r="167" spans="1:13" ht="17.25" customHeight="1" x14ac:dyDescent="0.2">
      <c r="A167" s="10"/>
      <c r="B167" s="5"/>
      <c r="C167" s="5"/>
      <c r="D167" s="5"/>
      <c r="E167" s="5"/>
      <c r="F167" s="5"/>
      <c r="G167" s="5"/>
      <c r="H167" s="5"/>
      <c r="I167" s="5"/>
      <c r="J167" s="5"/>
      <c r="K167" s="5"/>
      <c r="L167" s="5"/>
      <c r="M167" s="5"/>
    </row>
    <row r="168" spans="1:13" ht="17.25" customHeight="1" x14ac:dyDescent="0.2">
      <c r="A168" s="10"/>
      <c r="B168" s="5"/>
      <c r="C168" s="5"/>
      <c r="D168" s="5"/>
      <c r="E168" s="5"/>
      <c r="F168" s="5"/>
      <c r="G168" s="5"/>
      <c r="H168" s="5"/>
      <c r="I168" s="5"/>
      <c r="J168" s="5"/>
      <c r="K168" s="5"/>
      <c r="L168" s="5"/>
      <c r="M168" s="5"/>
    </row>
    <row r="169" spans="1:13" ht="17.25" customHeight="1" x14ac:dyDescent="0.2">
      <c r="A169" s="10"/>
      <c r="B169" s="5"/>
      <c r="C169" s="5"/>
      <c r="D169" s="5"/>
      <c r="E169" s="5"/>
      <c r="F169" s="5"/>
      <c r="G169" s="5"/>
      <c r="H169" s="5"/>
      <c r="I169" s="5"/>
      <c r="J169" s="5"/>
      <c r="K169" s="5"/>
      <c r="L169" s="5"/>
      <c r="M169" s="5"/>
    </row>
    <row r="170" spans="1:13" ht="17.25" customHeight="1" x14ac:dyDescent="0.2">
      <c r="A170" s="3" t="s">
        <v>258</v>
      </c>
      <c r="B170" s="5"/>
      <c r="C170" s="5"/>
      <c r="D170" s="5"/>
      <c r="E170" s="5"/>
      <c r="F170" s="5"/>
      <c r="G170" s="5"/>
      <c r="H170" s="5"/>
      <c r="I170" s="5"/>
      <c r="J170" s="5"/>
      <c r="K170" s="5"/>
      <c r="L170" s="5"/>
      <c r="M170" s="5"/>
    </row>
    <row r="171" spans="1:13" ht="17.25" customHeight="1" x14ac:dyDescent="0.2">
      <c r="A171" s="10"/>
      <c r="B171" s="5"/>
      <c r="C171" s="5"/>
      <c r="D171" s="5"/>
      <c r="E171" s="5"/>
      <c r="F171" s="5"/>
      <c r="G171" s="5"/>
      <c r="H171" s="5"/>
      <c r="I171" s="5"/>
      <c r="J171" s="5"/>
      <c r="K171" s="5"/>
      <c r="L171" s="5"/>
      <c r="M171" s="5"/>
    </row>
    <row r="172" spans="1:13" ht="17.25" customHeight="1" x14ac:dyDescent="0.2">
      <c r="A172" s="169" t="s">
        <v>453</v>
      </c>
      <c r="B172" s="5"/>
      <c r="C172" s="5"/>
      <c r="D172" s="5"/>
      <c r="E172" s="5"/>
      <c r="F172" s="5"/>
      <c r="G172" s="5"/>
      <c r="H172" s="5"/>
      <c r="I172" s="5"/>
      <c r="J172" s="5"/>
      <c r="K172" s="5"/>
      <c r="L172" s="5"/>
      <c r="M172" s="5"/>
    </row>
    <row r="173" spans="1:13" ht="17.25" customHeight="1" x14ac:dyDescent="0.2">
      <c r="A173" s="3" t="s">
        <v>259</v>
      </c>
      <c r="B173" s="5"/>
      <c r="C173" s="5"/>
      <c r="D173" s="5"/>
      <c r="E173" s="5"/>
      <c r="F173" s="5"/>
      <c r="G173" s="5"/>
      <c r="H173" s="5"/>
      <c r="I173" s="5"/>
      <c r="J173" s="5"/>
      <c r="K173" s="5"/>
      <c r="L173" s="5"/>
      <c r="M173" s="5"/>
    </row>
    <row r="174" spans="1:13" ht="17.25" customHeight="1" x14ac:dyDescent="0.2">
      <c r="A174" s="3"/>
      <c r="B174" s="5"/>
      <c r="C174" s="5"/>
      <c r="D174" s="5"/>
      <c r="E174" s="5"/>
      <c r="F174" s="5"/>
      <c r="G174" s="5"/>
      <c r="H174" s="5"/>
      <c r="I174" s="5"/>
      <c r="J174" s="5"/>
      <c r="K174" s="5"/>
      <c r="L174" s="5"/>
      <c r="M174" s="5"/>
    </row>
    <row r="175" spans="1:13" ht="17.25" customHeight="1" x14ac:dyDescent="0.2">
      <c r="A175" s="10"/>
      <c r="B175" s="5"/>
      <c r="C175" s="5"/>
      <c r="D175" s="5"/>
      <c r="E175" s="5"/>
      <c r="F175" s="5"/>
      <c r="G175" s="5"/>
      <c r="H175" s="5"/>
      <c r="I175" s="5"/>
      <c r="J175" s="5"/>
      <c r="K175" s="5"/>
      <c r="L175" s="5"/>
      <c r="M175" s="5"/>
    </row>
    <row r="176" spans="1:13" ht="17.25" customHeight="1" x14ac:dyDescent="0.2">
      <c r="A176" s="10"/>
      <c r="B176" s="5"/>
      <c r="C176" s="5"/>
      <c r="D176" s="5"/>
      <c r="E176" s="5"/>
      <c r="F176" s="5"/>
      <c r="G176" s="5"/>
      <c r="H176" s="5"/>
      <c r="I176" s="5"/>
      <c r="J176" s="5"/>
      <c r="K176" s="5"/>
      <c r="L176" s="5"/>
      <c r="M176" s="5"/>
    </row>
    <row r="177" spans="1:13" ht="17.25" customHeight="1" x14ac:dyDescent="0.2">
      <c r="A177" s="10"/>
      <c r="B177" s="5"/>
      <c r="C177" s="5"/>
      <c r="D177" s="5"/>
      <c r="E177" s="5"/>
      <c r="F177" s="5"/>
      <c r="G177" s="5"/>
      <c r="H177" s="5"/>
      <c r="I177" s="5"/>
      <c r="J177" s="5"/>
      <c r="K177" s="5"/>
      <c r="L177" s="5"/>
      <c r="M177" s="5"/>
    </row>
    <row r="178" spans="1:13" ht="17.25" customHeight="1" x14ac:dyDescent="0.2">
      <c r="A178" s="10"/>
      <c r="B178" s="5"/>
      <c r="C178" s="5"/>
      <c r="D178" s="5"/>
      <c r="E178" s="5"/>
      <c r="F178" s="5"/>
      <c r="G178" s="5"/>
      <c r="H178" s="5"/>
      <c r="I178" s="5"/>
      <c r="J178" s="5"/>
      <c r="K178" s="5"/>
      <c r="L178" s="5"/>
      <c r="M178" s="5"/>
    </row>
    <row r="179" spans="1:13" ht="17.25" customHeight="1" x14ac:dyDescent="0.2">
      <c r="A179" s="10"/>
      <c r="B179" s="5"/>
      <c r="C179" s="5"/>
      <c r="D179" s="5"/>
      <c r="E179" s="5"/>
      <c r="F179" s="5"/>
      <c r="G179" s="5"/>
      <c r="H179" s="5"/>
      <c r="I179" s="5"/>
      <c r="J179" s="5"/>
      <c r="K179" s="5"/>
      <c r="L179" s="5"/>
      <c r="M179" s="5"/>
    </row>
    <row r="180" spans="1:13" ht="17.25" customHeight="1" x14ac:dyDescent="0.2">
      <c r="A180" s="10"/>
      <c r="B180" s="5"/>
      <c r="C180" s="5"/>
      <c r="D180" s="5"/>
      <c r="E180" s="5"/>
      <c r="F180" s="5"/>
      <c r="G180" s="5"/>
      <c r="H180" s="5"/>
      <c r="I180" s="5"/>
      <c r="J180" s="5"/>
      <c r="K180" s="5"/>
      <c r="L180" s="5"/>
      <c r="M180" s="5"/>
    </row>
    <row r="181" spans="1:13" ht="17.25" customHeight="1" x14ac:dyDescent="0.2">
      <c r="A181" s="10"/>
      <c r="B181" s="5"/>
      <c r="C181" s="5"/>
      <c r="D181" s="5"/>
      <c r="E181" s="5"/>
      <c r="F181" s="5"/>
      <c r="G181" s="5"/>
      <c r="H181" s="5"/>
      <c r="I181" s="5"/>
      <c r="J181" s="5"/>
      <c r="K181" s="5"/>
      <c r="L181" s="5"/>
      <c r="M181" s="5"/>
    </row>
    <row r="182" spans="1:13" ht="17.25" customHeight="1" x14ac:dyDescent="0.2">
      <c r="A182" s="10"/>
      <c r="B182" s="5"/>
      <c r="C182" s="5"/>
      <c r="D182" s="5"/>
      <c r="E182" s="5"/>
      <c r="F182" s="5"/>
      <c r="G182" s="5"/>
      <c r="H182" s="5"/>
      <c r="I182" s="5"/>
      <c r="J182" s="5"/>
      <c r="K182" s="5"/>
      <c r="L182" s="5"/>
      <c r="M182" s="5"/>
    </row>
    <row r="183" spans="1:13" ht="17.25" customHeight="1" x14ac:dyDescent="0.2">
      <c r="A183" s="10"/>
      <c r="B183" s="5"/>
      <c r="C183" s="5"/>
      <c r="D183" s="5"/>
      <c r="E183" s="5"/>
      <c r="F183" s="5"/>
      <c r="G183" s="5"/>
      <c r="H183" s="5"/>
      <c r="I183" s="5"/>
      <c r="J183" s="5"/>
      <c r="K183" s="5"/>
      <c r="L183" s="5"/>
      <c r="M183" s="5"/>
    </row>
    <row r="184" spans="1:13" ht="17.25" customHeight="1" x14ac:dyDescent="0.2">
      <c r="A184" s="10"/>
      <c r="B184" s="5"/>
      <c r="C184" s="5"/>
      <c r="D184" s="5"/>
      <c r="E184" s="5"/>
      <c r="F184" s="5"/>
      <c r="G184" s="5"/>
      <c r="H184" s="5"/>
      <c r="I184" s="5"/>
      <c r="J184" s="5"/>
      <c r="K184" s="5"/>
      <c r="L184" s="5"/>
      <c r="M184" s="5"/>
    </row>
    <row r="185" spans="1:13" ht="17.25" customHeight="1" x14ac:dyDescent="0.2">
      <c r="A185" s="10"/>
      <c r="B185" s="5"/>
      <c r="C185" s="5"/>
      <c r="D185" s="5"/>
      <c r="E185" s="5"/>
      <c r="F185" s="5"/>
      <c r="G185" s="5"/>
      <c r="H185" s="5"/>
      <c r="I185" s="5"/>
      <c r="J185" s="5"/>
      <c r="K185" s="5"/>
      <c r="L185" s="5"/>
      <c r="M185" s="5"/>
    </row>
    <row r="186" spans="1:13" ht="17.25" customHeight="1" x14ac:dyDescent="0.2">
      <c r="A186" s="10"/>
      <c r="B186" s="5"/>
      <c r="C186" s="5"/>
      <c r="D186" s="5"/>
      <c r="E186" s="5"/>
      <c r="F186" s="5"/>
      <c r="G186" s="5"/>
      <c r="H186" s="5"/>
      <c r="I186" s="5"/>
      <c r="J186" s="5"/>
      <c r="K186" s="5"/>
      <c r="L186" s="5"/>
      <c r="M186" s="5"/>
    </row>
    <row r="187" spans="1:13" ht="17.25" customHeight="1" x14ac:dyDescent="0.2">
      <c r="A187" s="3" t="s">
        <v>260</v>
      </c>
      <c r="B187" s="5"/>
      <c r="C187" s="5"/>
      <c r="D187" s="5"/>
      <c r="E187" s="5"/>
      <c r="F187" s="5"/>
      <c r="G187" s="5"/>
      <c r="H187" s="5"/>
      <c r="I187" s="5"/>
      <c r="J187" s="5"/>
      <c r="K187" s="5"/>
      <c r="L187" s="5"/>
      <c r="M187" s="5"/>
    </row>
    <row r="188" spans="1:13" ht="17.25" customHeight="1" x14ac:dyDescent="0.2">
      <c r="A188" s="3" t="s">
        <v>261</v>
      </c>
      <c r="B188" s="5"/>
      <c r="C188" s="5"/>
      <c r="D188" s="5"/>
      <c r="E188" s="5"/>
      <c r="F188" s="5"/>
      <c r="G188" s="5"/>
      <c r="H188" s="5"/>
      <c r="I188" s="5"/>
      <c r="J188" s="5"/>
      <c r="K188" s="5"/>
      <c r="L188" s="5"/>
      <c r="M188" s="5"/>
    </row>
    <row r="189" spans="1:13" ht="17.25" customHeight="1" x14ac:dyDescent="0.2">
      <c r="A189" s="3" t="s">
        <v>263</v>
      </c>
      <c r="B189" s="3"/>
      <c r="C189" s="3"/>
      <c r="D189" s="3"/>
      <c r="E189" s="3"/>
      <c r="F189" s="3"/>
      <c r="G189" s="3"/>
      <c r="H189" s="3"/>
      <c r="I189" s="3"/>
      <c r="J189" s="3"/>
      <c r="K189" s="3"/>
      <c r="L189" s="3"/>
      <c r="M189" s="3"/>
    </row>
    <row r="190" spans="1:13" ht="17.25" customHeight="1" x14ac:dyDescent="0.2">
      <c r="A190" s="3" t="s">
        <v>262</v>
      </c>
      <c r="B190" s="3"/>
      <c r="C190" s="3"/>
      <c r="D190" s="3"/>
      <c r="E190" s="3"/>
      <c r="F190" s="3"/>
      <c r="G190" s="3"/>
      <c r="H190" s="3"/>
      <c r="I190" s="3"/>
      <c r="J190" s="3"/>
      <c r="K190" s="3"/>
      <c r="L190" s="3"/>
      <c r="M190" s="3"/>
    </row>
    <row r="191" spans="1:13" ht="17.25" customHeight="1" x14ac:dyDescent="0.2">
      <c r="A191" s="3" t="s">
        <v>264</v>
      </c>
      <c r="B191" s="3"/>
      <c r="C191" s="3"/>
      <c r="D191" s="3"/>
      <c r="E191" s="3"/>
      <c r="F191" s="3"/>
      <c r="G191" s="3"/>
      <c r="H191" s="3"/>
      <c r="I191" s="3"/>
      <c r="J191" s="3"/>
      <c r="K191" s="3"/>
      <c r="L191" s="3"/>
      <c r="M191" s="3"/>
    </row>
    <row r="192" spans="1:13" ht="17.25" customHeight="1" x14ac:dyDescent="0.2">
      <c r="A192" s="3" t="s">
        <v>265</v>
      </c>
      <c r="B192" s="3"/>
      <c r="C192" s="3"/>
      <c r="D192" s="3"/>
      <c r="E192" s="3"/>
      <c r="F192" s="3"/>
      <c r="G192" s="3"/>
      <c r="H192" s="3"/>
      <c r="I192" s="3"/>
      <c r="J192" s="3"/>
      <c r="K192" s="3"/>
      <c r="L192" s="3"/>
      <c r="M192" s="3"/>
    </row>
    <row r="193" spans="1:13" ht="17.25" customHeight="1" x14ac:dyDescent="0.2">
      <c r="A193" s="3"/>
      <c r="B193" s="3"/>
      <c r="C193" s="3"/>
      <c r="D193" s="3"/>
      <c r="E193" s="3"/>
      <c r="F193" s="3"/>
      <c r="G193" s="3"/>
      <c r="H193" s="3"/>
      <c r="I193" s="3"/>
      <c r="J193" s="3"/>
      <c r="K193" s="3"/>
      <c r="L193" s="3"/>
      <c r="M193" s="3"/>
    </row>
    <row r="194" spans="1:13" ht="17.25" customHeight="1" x14ac:dyDescent="0.2">
      <c r="A194" s="3"/>
      <c r="B194" s="3"/>
      <c r="C194" s="3"/>
      <c r="D194" s="3"/>
      <c r="E194" s="3"/>
      <c r="F194" s="3"/>
      <c r="G194" s="3"/>
      <c r="H194" s="3"/>
      <c r="I194" s="3"/>
      <c r="J194" s="3"/>
      <c r="K194" s="3"/>
      <c r="L194" s="3"/>
      <c r="M194" s="3"/>
    </row>
    <row r="195" spans="1:13" ht="17.25" customHeight="1" x14ac:dyDescent="0.2">
      <c r="A195" s="3"/>
      <c r="B195" s="3"/>
      <c r="C195" s="3"/>
      <c r="D195" s="3"/>
      <c r="E195" s="3"/>
      <c r="F195" s="3"/>
      <c r="G195" s="3"/>
      <c r="H195" s="3"/>
      <c r="I195" s="3"/>
      <c r="J195" s="3"/>
      <c r="K195" s="3"/>
      <c r="L195" s="3"/>
      <c r="M195" s="3"/>
    </row>
    <row r="196" spans="1:13" ht="17.25" customHeight="1" x14ac:dyDescent="0.2">
      <c r="A196" s="3"/>
      <c r="B196" s="3"/>
      <c r="C196" s="3"/>
      <c r="D196" s="3"/>
      <c r="E196" s="3"/>
      <c r="F196" s="3"/>
      <c r="G196" s="3"/>
      <c r="H196" s="3"/>
      <c r="I196" s="3"/>
      <c r="J196" s="3"/>
      <c r="K196" s="3"/>
      <c r="L196" s="3"/>
      <c r="M196" s="3"/>
    </row>
    <row r="197" spans="1:13" ht="17.25" customHeight="1" x14ac:dyDescent="0.2">
      <c r="A197" s="3"/>
      <c r="B197" s="3"/>
      <c r="C197" s="3"/>
      <c r="D197" s="3"/>
      <c r="E197" s="3"/>
      <c r="F197" s="3"/>
      <c r="G197" s="3"/>
      <c r="H197" s="3"/>
      <c r="I197" s="3"/>
      <c r="J197" s="3"/>
      <c r="K197" s="3"/>
      <c r="L197" s="3"/>
      <c r="M197" s="3"/>
    </row>
    <row r="198" spans="1:13" ht="17.25" customHeight="1" x14ac:dyDescent="0.2">
      <c r="A198" s="3"/>
      <c r="B198" s="3"/>
      <c r="C198" s="3"/>
      <c r="D198" s="3"/>
      <c r="E198" s="3"/>
      <c r="F198" s="3"/>
      <c r="G198" s="3"/>
      <c r="H198" s="3"/>
      <c r="I198" s="3"/>
      <c r="J198" s="3"/>
      <c r="K198" s="3"/>
      <c r="L198" s="3"/>
      <c r="M198" s="3"/>
    </row>
    <row r="199" spans="1:13" ht="17.25" customHeight="1" x14ac:dyDescent="0.2">
      <c r="A199" s="3"/>
      <c r="B199" s="3"/>
      <c r="C199" s="3"/>
      <c r="D199" s="3"/>
      <c r="E199" s="3"/>
      <c r="F199" s="3"/>
      <c r="G199" s="3"/>
      <c r="H199" s="3"/>
      <c r="I199" s="3"/>
      <c r="J199" s="3"/>
      <c r="K199" s="3"/>
      <c r="L199" s="3"/>
      <c r="M199" s="3"/>
    </row>
    <row r="200" spans="1:13" ht="17.25" customHeight="1" x14ac:dyDescent="0.2">
      <c r="A200" s="3"/>
      <c r="B200" s="3"/>
      <c r="C200" s="3"/>
      <c r="D200" s="3"/>
      <c r="E200" s="3"/>
      <c r="F200" s="3"/>
      <c r="G200" s="3"/>
      <c r="H200" s="3"/>
      <c r="I200" s="3"/>
      <c r="J200" s="3"/>
      <c r="K200" s="3"/>
      <c r="L200" s="3"/>
      <c r="M200" s="3"/>
    </row>
    <row r="201" spans="1:13" ht="17.25" customHeight="1" x14ac:dyDescent="0.2">
      <c r="A201" s="3"/>
      <c r="B201" s="3"/>
      <c r="C201" s="3"/>
      <c r="D201" s="3"/>
      <c r="E201" s="3"/>
      <c r="F201" s="3"/>
      <c r="G201" s="3"/>
      <c r="H201" s="3"/>
      <c r="I201" s="3"/>
      <c r="J201" s="3"/>
      <c r="K201" s="3"/>
      <c r="L201" s="3"/>
      <c r="M201" s="3"/>
    </row>
    <row r="202" spans="1:13" ht="17.25" customHeight="1" x14ac:dyDescent="0.2">
      <c r="A202" s="3"/>
      <c r="B202" s="3"/>
      <c r="C202" s="3"/>
      <c r="D202" s="3"/>
      <c r="E202" s="3"/>
      <c r="F202" s="3"/>
      <c r="G202" s="3"/>
      <c r="H202" s="3"/>
      <c r="I202" s="3"/>
      <c r="J202" s="3"/>
      <c r="K202" s="3"/>
      <c r="L202" s="3"/>
      <c r="M202" s="3"/>
    </row>
    <row r="203" spans="1:13" ht="17.25" customHeight="1" x14ac:dyDescent="0.2">
      <c r="A203" s="3"/>
      <c r="B203" s="3"/>
      <c r="C203" s="3"/>
      <c r="D203" s="3"/>
      <c r="E203" s="3"/>
      <c r="F203" s="3"/>
      <c r="G203" s="3"/>
      <c r="H203" s="3"/>
      <c r="I203" s="3"/>
      <c r="J203" s="3"/>
      <c r="K203" s="3"/>
      <c r="L203" s="3"/>
      <c r="M203" s="3"/>
    </row>
    <row r="204" spans="1:13" ht="17.25" customHeight="1" x14ac:dyDescent="0.2">
      <c r="A204" s="3"/>
      <c r="B204" s="3"/>
      <c r="C204" s="3"/>
      <c r="D204" s="3"/>
      <c r="E204" s="3"/>
      <c r="F204" s="3"/>
      <c r="G204" s="3"/>
      <c r="H204" s="3"/>
      <c r="I204" s="3"/>
      <c r="J204" s="3"/>
      <c r="K204" s="3"/>
      <c r="L204" s="3"/>
      <c r="M204" s="3"/>
    </row>
    <row r="205" spans="1:13" ht="17.25" customHeight="1" x14ac:dyDescent="0.2">
      <c r="A205" s="3"/>
      <c r="B205" s="3"/>
      <c r="C205" s="3"/>
      <c r="D205" s="3"/>
      <c r="E205" s="3"/>
      <c r="F205" s="3"/>
      <c r="G205" s="3"/>
      <c r="H205" s="3"/>
      <c r="I205" s="3"/>
      <c r="J205" s="3"/>
      <c r="K205" s="3"/>
      <c r="L205" s="3"/>
      <c r="M205" s="3"/>
    </row>
    <row r="206" spans="1:13" ht="17.25" customHeight="1" x14ac:dyDescent="0.2">
      <c r="A206" s="3" t="s">
        <v>266</v>
      </c>
      <c r="B206" s="3"/>
      <c r="C206" s="3"/>
      <c r="D206" s="3"/>
      <c r="E206" s="3"/>
      <c r="F206" s="3"/>
      <c r="G206" s="3"/>
      <c r="H206" s="3"/>
      <c r="I206" s="3"/>
      <c r="J206" s="3"/>
      <c r="K206" s="3"/>
      <c r="L206" s="3"/>
      <c r="M206" s="3"/>
    </row>
    <row r="207" spans="1:13" ht="17.25" customHeight="1" x14ac:dyDescent="0.2">
      <c r="A207" s="3" t="s">
        <v>267</v>
      </c>
      <c r="B207" s="3"/>
      <c r="C207" s="3"/>
      <c r="D207" s="3"/>
      <c r="E207" s="3"/>
      <c r="F207" s="3"/>
      <c r="G207" s="3"/>
      <c r="H207" s="3"/>
      <c r="I207" s="3"/>
      <c r="J207" s="3"/>
      <c r="K207" s="3"/>
      <c r="L207" s="3"/>
      <c r="M207" s="3"/>
    </row>
    <row r="208" spans="1:13" ht="17.25" customHeight="1" x14ac:dyDescent="0.2">
      <c r="A208" s="3" t="s">
        <v>268</v>
      </c>
      <c r="B208" s="3"/>
      <c r="C208" s="3"/>
      <c r="D208" s="3"/>
      <c r="E208" s="3"/>
      <c r="F208" s="3"/>
      <c r="G208" s="3"/>
      <c r="H208" s="3"/>
      <c r="I208" s="3"/>
      <c r="J208" s="3"/>
      <c r="K208" s="3"/>
      <c r="L208" s="3"/>
      <c r="M208" s="3"/>
    </row>
    <row r="209" spans="1:13" ht="17.25" customHeight="1" x14ac:dyDescent="0.2">
      <c r="A209" s="3" t="s">
        <v>269</v>
      </c>
      <c r="B209" s="3"/>
      <c r="C209" s="3"/>
      <c r="D209" s="3"/>
      <c r="E209" s="3"/>
      <c r="F209" s="3"/>
      <c r="G209" s="3"/>
      <c r="H209" s="3"/>
      <c r="I209" s="3"/>
      <c r="J209" s="3"/>
      <c r="K209" s="3"/>
      <c r="L209" s="3"/>
      <c r="M209" s="3"/>
    </row>
    <row r="210" spans="1:13" ht="10.5" customHeight="1" x14ac:dyDescent="0.2">
      <c r="A210" s="3"/>
      <c r="B210" s="3"/>
      <c r="C210" s="3"/>
      <c r="D210" s="3"/>
      <c r="E210" s="3"/>
      <c r="F210" s="3"/>
      <c r="G210" s="3"/>
      <c r="H210" s="3"/>
      <c r="I210" s="3"/>
      <c r="J210" s="3"/>
      <c r="K210" s="3"/>
      <c r="L210" s="3"/>
      <c r="M210" s="3"/>
    </row>
    <row r="211" spans="1:13" ht="17.25" customHeight="1" x14ac:dyDescent="0.2">
      <c r="A211" s="118" t="s">
        <v>270</v>
      </c>
      <c r="B211" s="3"/>
      <c r="C211" s="3"/>
      <c r="D211" s="3"/>
      <c r="E211" s="3"/>
      <c r="F211" s="3"/>
      <c r="G211" s="3"/>
      <c r="H211" s="3"/>
      <c r="I211" s="3"/>
      <c r="J211" s="3"/>
      <c r="K211" s="3"/>
      <c r="L211" s="3"/>
      <c r="M211" s="3"/>
    </row>
    <row r="212" spans="1:13" ht="17.25" customHeight="1" x14ac:dyDescent="0.2">
      <c r="A212" s="3" t="s">
        <v>271</v>
      </c>
      <c r="B212" s="3"/>
      <c r="C212" s="3"/>
      <c r="D212" s="3"/>
      <c r="E212" s="3"/>
      <c r="F212" s="3"/>
      <c r="G212" s="3"/>
      <c r="H212" s="3"/>
      <c r="I212" s="3"/>
      <c r="J212" s="3"/>
      <c r="K212" s="3"/>
      <c r="L212" s="3"/>
      <c r="M212" s="3"/>
    </row>
    <row r="213" spans="1:13" ht="17.25" customHeight="1" x14ac:dyDescent="0.2">
      <c r="A213" s="39" t="s">
        <v>285</v>
      </c>
      <c r="B213" s="3" t="s">
        <v>272</v>
      </c>
      <c r="C213" s="3"/>
      <c r="D213" s="3"/>
      <c r="E213" s="3"/>
      <c r="F213" s="3"/>
      <c r="G213" s="3"/>
      <c r="H213" s="3"/>
      <c r="I213" s="3"/>
      <c r="J213" s="3"/>
      <c r="K213" s="3"/>
      <c r="L213" s="3"/>
      <c r="M213" s="3"/>
    </row>
    <row r="214" spans="1:13" ht="17.25" customHeight="1" x14ac:dyDescent="0.2">
      <c r="A214" s="39" t="s">
        <v>286</v>
      </c>
      <c r="B214" s="3" t="s">
        <v>273</v>
      </c>
      <c r="C214" s="3"/>
      <c r="D214" s="3"/>
      <c r="E214" s="3"/>
      <c r="F214" s="3"/>
      <c r="G214" s="3"/>
      <c r="H214" s="3"/>
      <c r="I214" s="3"/>
      <c r="J214" s="3"/>
      <c r="K214" s="3"/>
      <c r="L214" s="3"/>
      <c r="M214" s="3"/>
    </row>
    <row r="215" spans="1:13" ht="17.25" customHeight="1" x14ac:dyDescent="0.2">
      <c r="A215" s="39" t="s">
        <v>287</v>
      </c>
      <c r="B215" s="3" t="s">
        <v>274</v>
      </c>
      <c r="C215" s="3"/>
      <c r="D215" s="3"/>
      <c r="E215" s="3"/>
      <c r="F215" s="3"/>
      <c r="G215" s="3"/>
      <c r="H215" s="3"/>
      <c r="I215" s="3"/>
      <c r="J215" s="3"/>
      <c r="K215" s="3"/>
      <c r="L215" s="3"/>
      <c r="M215" s="3"/>
    </row>
    <row r="216" spans="1:13" ht="17.25" customHeight="1" x14ac:dyDescent="0.2">
      <c r="A216" s="39" t="s">
        <v>288</v>
      </c>
      <c r="B216" s="3" t="s">
        <v>275</v>
      </c>
      <c r="C216" s="3"/>
      <c r="D216" s="3"/>
      <c r="E216" s="3"/>
      <c r="F216" s="3"/>
      <c r="G216" s="3"/>
      <c r="H216" s="3"/>
      <c r="I216" s="3"/>
      <c r="J216" s="3"/>
      <c r="K216" s="3"/>
      <c r="L216" s="3"/>
      <c r="M216" s="3"/>
    </row>
    <row r="217" spans="1:13" ht="17.25" customHeight="1" x14ac:dyDescent="0.2">
      <c r="A217" s="39" t="s">
        <v>289</v>
      </c>
      <c r="B217" s="3" t="s">
        <v>281</v>
      </c>
      <c r="C217" s="3"/>
      <c r="D217" s="3"/>
      <c r="E217" s="3"/>
      <c r="F217" s="3"/>
      <c r="G217" s="3"/>
      <c r="H217" s="3"/>
      <c r="I217" s="3"/>
      <c r="J217" s="3"/>
      <c r="K217" s="3"/>
      <c r="L217" s="3"/>
      <c r="M217" s="3"/>
    </row>
    <row r="218" spans="1:13" ht="17.25" customHeight="1" x14ac:dyDescent="0.2">
      <c r="A218" s="39"/>
      <c r="B218" s="3" t="s">
        <v>282</v>
      </c>
      <c r="C218" s="3"/>
      <c r="D218" s="3"/>
      <c r="E218" s="3"/>
      <c r="F218" s="3"/>
      <c r="G218" s="3"/>
      <c r="H218" s="3"/>
      <c r="I218" s="3"/>
      <c r="J218" s="3"/>
      <c r="K218" s="3"/>
      <c r="L218" s="3"/>
      <c r="M218" s="3"/>
    </row>
    <row r="219" spans="1:13" ht="17.25" customHeight="1" x14ac:dyDescent="0.2">
      <c r="A219" s="39" t="s">
        <v>290</v>
      </c>
      <c r="B219" s="3" t="s">
        <v>283</v>
      </c>
      <c r="C219" s="3"/>
      <c r="D219" s="3"/>
      <c r="E219" s="3"/>
      <c r="F219" s="3"/>
      <c r="G219" s="3"/>
      <c r="H219" s="3"/>
      <c r="I219" s="3"/>
      <c r="J219" s="3"/>
      <c r="K219" s="3"/>
      <c r="L219" s="3"/>
      <c r="M219" s="3"/>
    </row>
    <row r="220" spans="1:13" ht="17.25" customHeight="1" x14ac:dyDescent="0.2">
      <c r="A220" s="39"/>
      <c r="B220" s="3"/>
      <c r="C220" s="3"/>
      <c r="D220" s="3"/>
      <c r="E220" s="3"/>
      <c r="F220" s="3"/>
      <c r="G220" s="3"/>
      <c r="H220" s="3"/>
      <c r="I220" s="3"/>
      <c r="J220" s="3"/>
      <c r="K220" s="3"/>
      <c r="L220" s="3"/>
      <c r="M220" s="3"/>
    </row>
    <row r="221" spans="1:13" ht="17.25" customHeight="1" x14ac:dyDescent="0.2">
      <c r="A221" s="39"/>
      <c r="B221" s="3"/>
      <c r="C221" s="3"/>
      <c r="D221" s="3"/>
      <c r="E221" s="3"/>
      <c r="F221" s="3"/>
      <c r="G221" s="3"/>
      <c r="H221" s="3"/>
      <c r="I221" s="3"/>
      <c r="J221" s="3"/>
      <c r="K221" s="3"/>
      <c r="L221" s="3"/>
      <c r="M221" s="3"/>
    </row>
    <row r="222" spans="1:13" ht="17.25" customHeight="1" x14ac:dyDescent="0.2">
      <c r="A222" s="39"/>
      <c r="B222" s="3"/>
      <c r="C222" s="3"/>
      <c r="D222" s="3"/>
      <c r="E222" s="3"/>
      <c r="F222" s="3"/>
      <c r="G222" s="3"/>
      <c r="H222" s="3"/>
      <c r="I222" s="3"/>
      <c r="J222" s="3"/>
      <c r="K222" s="3"/>
      <c r="L222" s="3"/>
      <c r="M222" s="3"/>
    </row>
    <row r="223" spans="1:13" ht="17.25" customHeight="1" x14ac:dyDescent="0.2">
      <c r="A223" s="39"/>
      <c r="B223" s="3"/>
      <c r="C223" s="3"/>
      <c r="D223" s="3"/>
      <c r="E223" s="3"/>
      <c r="F223" s="3"/>
      <c r="G223" s="3"/>
      <c r="H223" s="3"/>
      <c r="I223" s="3"/>
      <c r="J223" s="3"/>
      <c r="K223" s="3"/>
      <c r="L223" s="3"/>
      <c r="M223" s="3"/>
    </row>
    <row r="224" spans="1:13" ht="17.25" customHeight="1" x14ac:dyDescent="0.2">
      <c r="A224" s="39"/>
      <c r="B224" s="3"/>
      <c r="C224" s="3"/>
      <c r="D224" s="3"/>
      <c r="E224" s="3"/>
      <c r="F224" s="3"/>
      <c r="G224" s="3"/>
      <c r="H224" s="3"/>
      <c r="I224" s="3"/>
      <c r="J224" s="3"/>
      <c r="K224" s="3"/>
      <c r="L224" s="3"/>
      <c r="M224" s="3"/>
    </row>
    <row r="225" spans="1:20" ht="17.25" customHeight="1" x14ac:dyDescent="0.2">
      <c r="A225" s="39"/>
      <c r="B225" s="3"/>
      <c r="C225" s="3"/>
      <c r="D225" s="3"/>
      <c r="E225" s="3"/>
      <c r="F225" s="3"/>
      <c r="G225" s="3"/>
      <c r="H225" s="3"/>
      <c r="I225" s="3"/>
      <c r="J225" s="3"/>
      <c r="K225" s="3"/>
      <c r="L225" s="3"/>
      <c r="M225" s="3"/>
    </row>
    <row r="226" spans="1:20" ht="17.25" customHeight="1" x14ac:dyDescent="0.2">
      <c r="A226" s="39"/>
      <c r="B226" s="3"/>
      <c r="C226" s="3"/>
      <c r="D226" s="3"/>
      <c r="E226" s="3"/>
      <c r="F226" s="3"/>
      <c r="G226" s="3"/>
      <c r="H226" s="3"/>
      <c r="I226" s="3"/>
      <c r="J226" s="3"/>
      <c r="K226" s="3"/>
      <c r="L226" s="3"/>
      <c r="M226" s="3"/>
    </row>
    <row r="227" spans="1:20" ht="17.25" customHeight="1" x14ac:dyDescent="0.2">
      <c r="A227" s="39"/>
      <c r="B227" s="3"/>
      <c r="C227" s="3"/>
      <c r="D227" s="3"/>
      <c r="E227" s="3"/>
      <c r="F227" s="3"/>
      <c r="G227" s="3"/>
      <c r="H227" s="3"/>
      <c r="I227" s="3"/>
      <c r="J227" s="3"/>
      <c r="K227" s="3"/>
      <c r="L227" s="3"/>
      <c r="M227" s="3"/>
    </row>
    <row r="228" spans="1:20" ht="17.25" customHeight="1" x14ac:dyDescent="0.2">
      <c r="A228" s="39"/>
      <c r="B228" s="3"/>
      <c r="C228" s="3"/>
      <c r="D228" s="3"/>
      <c r="E228" s="3"/>
      <c r="F228" s="3"/>
      <c r="G228" s="3"/>
      <c r="H228" s="3"/>
      <c r="I228" s="3"/>
      <c r="J228" s="3"/>
      <c r="K228" s="3"/>
      <c r="L228" s="3"/>
      <c r="M228" s="3"/>
    </row>
    <row r="229" spans="1:20" ht="17.25" customHeight="1" x14ac:dyDescent="0.2">
      <c r="A229" s="39"/>
      <c r="B229" s="3"/>
      <c r="C229" s="3"/>
      <c r="D229" s="3"/>
      <c r="E229" s="3"/>
      <c r="F229" s="3"/>
      <c r="G229" s="3"/>
      <c r="H229" s="3"/>
      <c r="I229" s="3"/>
      <c r="J229" s="3"/>
      <c r="K229" s="3"/>
      <c r="L229" s="3"/>
      <c r="M229" s="3"/>
    </row>
    <row r="230" spans="1:20" ht="17.25" customHeight="1" x14ac:dyDescent="0.2">
      <c r="A230" s="39"/>
      <c r="B230" s="3"/>
      <c r="C230" s="3"/>
      <c r="D230" s="3"/>
      <c r="E230" s="3"/>
      <c r="F230" s="3"/>
      <c r="G230" s="3"/>
      <c r="H230" s="3"/>
      <c r="I230" s="3"/>
      <c r="J230" s="3"/>
      <c r="K230" s="3"/>
      <c r="L230" s="3"/>
      <c r="M230" s="3"/>
    </row>
    <row r="231" spans="1:20" ht="17.25" customHeight="1" x14ac:dyDescent="0.2">
      <c r="A231" s="39"/>
      <c r="B231" s="3"/>
      <c r="C231" s="3"/>
      <c r="D231" s="3"/>
      <c r="E231" s="3"/>
      <c r="F231" s="3"/>
      <c r="G231" s="3"/>
      <c r="H231" s="3"/>
      <c r="I231" s="3"/>
      <c r="J231" s="3"/>
      <c r="K231" s="3"/>
      <c r="L231" s="3"/>
      <c r="M231" s="3"/>
    </row>
    <row r="232" spans="1:20" ht="6" customHeight="1" x14ac:dyDescent="0.2">
      <c r="A232" s="39"/>
      <c r="B232" s="3"/>
      <c r="C232" s="3"/>
      <c r="D232" s="3"/>
      <c r="E232" s="3"/>
      <c r="F232" s="3"/>
      <c r="G232" s="3"/>
      <c r="H232" s="3"/>
      <c r="I232" s="3"/>
      <c r="J232" s="3"/>
      <c r="K232" s="3"/>
      <c r="L232" s="3"/>
      <c r="M232" s="3"/>
    </row>
    <row r="233" spans="1:20" ht="17.25" customHeight="1" x14ac:dyDescent="0.2">
      <c r="A233" s="3" t="s">
        <v>291</v>
      </c>
      <c r="B233" s="3"/>
      <c r="C233" s="3"/>
      <c r="D233" s="3"/>
      <c r="E233" s="3"/>
      <c r="F233" s="3"/>
      <c r="G233" s="3"/>
      <c r="H233" s="3"/>
      <c r="I233" s="3"/>
      <c r="J233" s="3"/>
      <c r="K233" s="3"/>
      <c r="L233" s="3"/>
      <c r="M233" s="3"/>
    </row>
    <row r="234" spans="1:20" ht="17.25" customHeight="1" x14ac:dyDescent="0.2">
      <c r="A234" s="3" t="s">
        <v>284</v>
      </c>
      <c r="B234" s="3"/>
      <c r="C234" s="3"/>
      <c r="D234" s="3"/>
      <c r="E234" s="3"/>
      <c r="F234" s="3"/>
      <c r="G234" s="3"/>
      <c r="H234" s="3"/>
      <c r="I234" s="3"/>
      <c r="J234" s="3"/>
      <c r="K234" s="3"/>
      <c r="L234" s="3"/>
      <c r="M234" s="3"/>
    </row>
    <row r="235" spans="1:20" ht="17.25" customHeight="1" x14ac:dyDescent="0.2">
      <c r="A235" s="3" t="s">
        <v>292</v>
      </c>
      <c r="B235" s="3"/>
      <c r="C235" s="3"/>
      <c r="D235" s="3"/>
      <c r="E235" s="3"/>
      <c r="F235" s="3"/>
      <c r="G235" s="3"/>
      <c r="H235" s="3"/>
      <c r="I235" s="3"/>
      <c r="J235" s="3"/>
      <c r="K235" s="3"/>
      <c r="L235" s="3"/>
      <c r="M235" s="3"/>
    </row>
    <row r="236" spans="1:20" ht="17.25" customHeight="1" x14ac:dyDescent="0.2">
      <c r="A236" s="3"/>
      <c r="B236" s="3"/>
      <c r="C236" s="3"/>
      <c r="D236" s="3"/>
      <c r="E236" s="3"/>
      <c r="F236" s="3"/>
      <c r="G236" s="3"/>
      <c r="H236" s="3"/>
      <c r="I236" s="3"/>
      <c r="J236" s="3"/>
      <c r="K236" s="3"/>
      <c r="L236" s="3"/>
      <c r="M236" s="3"/>
    </row>
    <row r="237" spans="1:20" ht="17.25" customHeight="1" thickBot="1" x14ac:dyDescent="0.25">
      <c r="A237" s="3"/>
      <c r="B237" s="3"/>
      <c r="C237" s="3"/>
      <c r="D237" s="3"/>
      <c r="E237" s="3"/>
      <c r="F237" s="3"/>
      <c r="G237" s="3"/>
      <c r="H237" s="3"/>
      <c r="I237" s="3"/>
      <c r="J237" s="3"/>
      <c r="K237" s="3"/>
      <c r="L237" s="3"/>
      <c r="M237" s="3"/>
    </row>
    <row r="238" spans="1:20" ht="17.25" customHeight="1" x14ac:dyDescent="0.2">
      <c r="A238" s="3"/>
      <c r="B238" s="3"/>
      <c r="C238" s="3"/>
      <c r="D238" s="3"/>
      <c r="E238" s="3"/>
      <c r="F238" s="3"/>
      <c r="G238" s="3"/>
      <c r="H238" s="3"/>
      <c r="I238" s="3"/>
      <c r="J238" s="3"/>
      <c r="K238" s="3"/>
      <c r="L238" s="3"/>
      <c r="M238" s="3"/>
      <c r="O238" s="229" t="s">
        <v>294</v>
      </c>
      <c r="P238" s="125">
        <f>SIN((B68+I69)*PI()/180)</f>
        <v>0.90850817752672186</v>
      </c>
      <c r="Q238" s="120"/>
      <c r="R238" s="120"/>
      <c r="S238" s="121"/>
    </row>
    <row r="239" spans="1:20" ht="17.25" customHeight="1" thickBot="1" x14ac:dyDescent="0.25">
      <c r="A239" s="3"/>
      <c r="B239" s="3"/>
      <c r="C239" s="3"/>
      <c r="D239" s="3"/>
      <c r="E239" s="3"/>
      <c r="F239" s="3"/>
      <c r="G239" s="3"/>
      <c r="H239" s="3"/>
      <c r="I239" s="3"/>
      <c r="J239" s="3"/>
      <c r="K239" s="3"/>
      <c r="L239" s="3"/>
      <c r="M239" s="3"/>
      <c r="O239" s="230" t="s">
        <v>293</v>
      </c>
      <c r="P239" s="126">
        <f>SIN(B68*PI()/180)</f>
        <v>1</v>
      </c>
      <c r="S239" s="122"/>
    </row>
    <row r="240" spans="1:20" ht="17.25" customHeight="1" thickBot="1" x14ac:dyDescent="0.25">
      <c r="A240" s="3"/>
      <c r="B240" s="3"/>
      <c r="C240" s="3"/>
      <c r="D240" s="3"/>
      <c r="E240" s="3"/>
      <c r="F240" s="3"/>
      <c r="G240" s="3"/>
      <c r="H240" s="3"/>
      <c r="I240" s="3"/>
      <c r="J240" s="3"/>
      <c r="K240" s="3"/>
      <c r="L240" s="3"/>
      <c r="M240" s="3"/>
      <c r="O240" s="230" t="s">
        <v>295</v>
      </c>
      <c r="P240" s="126">
        <f>SIN((B68-B71)*PI()/180)</f>
        <v>0.98969308526070354</v>
      </c>
      <c r="R240" s="129" t="s">
        <v>299</v>
      </c>
      <c r="S240" s="130">
        <f>(P238*P238)/((P239*P239*P240)*POWER((1+(SQRT((P241*P242)/(P240*P243)))),2))</f>
        <v>0.381203816721991</v>
      </c>
      <c r="T240" s="128"/>
    </row>
    <row r="241" spans="1:20" ht="17.25" customHeight="1" x14ac:dyDescent="0.2">
      <c r="A241" s="10"/>
      <c r="B241" s="3"/>
      <c r="C241" s="3"/>
      <c r="D241" s="3"/>
      <c r="E241" s="3"/>
      <c r="F241" s="3"/>
      <c r="G241" s="3"/>
      <c r="H241" s="3"/>
      <c r="I241" s="3"/>
      <c r="J241" s="3"/>
      <c r="K241" s="3"/>
      <c r="L241" s="3"/>
      <c r="M241" s="3"/>
      <c r="O241" s="230" t="s">
        <v>296</v>
      </c>
      <c r="P241" s="126">
        <f>SIN((B71+I69)*PI()/180)</f>
        <v>0.54366282903738328</v>
      </c>
      <c r="S241" s="122"/>
    </row>
    <row r="242" spans="1:20" ht="17.25" customHeight="1" x14ac:dyDescent="0.2">
      <c r="A242" s="119" t="s">
        <v>255</v>
      </c>
      <c r="B242" s="3"/>
      <c r="C242" s="3"/>
      <c r="D242" s="3"/>
      <c r="E242" s="3"/>
      <c r="F242" s="3"/>
      <c r="G242" s="3"/>
      <c r="H242" s="3"/>
      <c r="I242" s="3"/>
      <c r="J242" s="3"/>
      <c r="K242" s="3"/>
      <c r="L242" s="3"/>
      <c r="M242" s="3"/>
      <c r="O242" s="230" t="s">
        <v>297</v>
      </c>
      <c r="P242" s="126">
        <f>SIN((I69-B70)*PI()/180)</f>
        <v>0.41786707380107674</v>
      </c>
      <c r="S242" s="122"/>
    </row>
    <row r="243" spans="1:20" ht="17.25" customHeight="1" thickBot="1" x14ac:dyDescent="0.25">
      <c r="A243" s="3"/>
      <c r="B243" s="3"/>
      <c r="C243" s="3"/>
      <c r="D243" s="3"/>
      <c r="E243" s="3"/>
      <c r="F243" s="3"/>
      <c r="G243" s="3"/>
      <c r="H243" s="3"/>
      <c r="I243" s="3"/>
      <c r="J243" s="3"/>
      <c r="K243" s="3"/>
      <c r="L243" s="3"/>
      <c r="M243" s="3"/>
      <c r="O243" s="231" t="s">
        <v>298</v>
      </c>
      <c r="P243" s="127">
        <f>SIN((B68+B70)*PI()/180)</f>
        <v>1</v>
      </c>
      <c r="Q243" s="123"/>
      <c r="R243" s="123"/>
      <c r="S243" s="124"/>
    </row>
    <row r="244" spans="1:20" ht="17.25" customHeight="1" x14ac:dyDescent="0.2">
      <c r="A244" s="3" t="s">
        <v>319</v>
      </c>
      <c r="B244" s="3"/>
      <c r="C244" s="3"/>
      <c r="D244" s="3"/>
      <c r="E244" s="3"/>
      <c r="F244" s="3"/>
      <c r="G244" s="3"/>
      <c r="H244" s="3"/>
      <c r="I244" s="3"/>
      <c r="J244" s="3"/>
      <c r="K244" s="136">
        <v>0</v>
      </c>
      <c r="L244" s="3"/>
      <c r="M244" s="3"/>
      <c r="O244" s="229" t="s">
        <v>313</v>
      </c>
      <c r="P244" s="125">
        <f>SIN((B68-I69)*PI()/180)</f>
        <v>0.90850817752672175</v>
      </c>
      <c r="Q244" s="120" t="s">
        <v>318</v>
      </c>
      <c r="R244" s="120"/>
      <c r="S244" s="121"/>
    </row>
    <row r="245" spans="1:20" ht="17.25" customHeight="1" thickBot="1" x14ac:dyDescent="0.25">
      <c r="A245" s="3"/>
      <c r="B245" s="3"/>
      <c r="C245" s="3"/>
      <c r="D245" s="39" t="s">
        <v>311</v>
      </c>
      <c r="E245" s="134">
        <f>S240</f>
        <v>0.381203816721991</v>
      </c>
      <c r="F245" s="9" t="s">
        <v>9</v>
      </c>
      <c r="G245" s="10"/>
      <c r="H245" s="3"/>
      <c r="I245" s="3"/>
      <c r="J245" s="3"/>
      <c r="K245" s="3"/>
      <c r="L245" s="3"/>
      <c r="M245" s="3"/>
      <c r="O245" s="230" t="s">
        <v>293</v>
      </c>
      <c r="P245" s="126">
        <f>SIN((B68*PI())/180)</f>
        <v>1</v>
      </c>
      <c r="Q245" s="10" t="s">
        <v>318</v>
      </c>
      <c r="S245" s="122"/>
    </row>
    <row r="246" spans="1:20" ht="17.25" customHeight="1" thickBot="1" x14ac:dyDescent="0.25">
      <c r="A246" s="3"/>
      <c r="B246" s="3"/>
      <c r="C246" s="3"/>
      <c r="D246" s="39" t="s">
        <v>312</v>
      </c>
      <c r="E246" s="134">
        <f>S246</f>
        <v>3.0737047550883037</v>
      </c>
      <c r="F246" s="9" t="s">
        <v>10</v>
      </c>
      <c r="G246" s="10"/>
      <c r="H246" s="3"/>
      <c r="I246" s="3"/>
      <c r="J246" s="3"/>
      <c r="K246" s="3"/>
      <c r="L246" s="3"/>
      <c r="M246" s="3"/>
      <c r="O246" s="230" t="s">
        <v>314</v>
      </c>
      <c r="P246" s="126">
        <f>SIN((B68+B71)*PI()/180)</f>
        <v>0.98969308526070354</v>
      </c>
      <c r="Q246" s="10" t="s">
        <v>318</v>
      </c>
      <c r="R246" s="129" t="s">
        <v>316</v>
      </c>
      <c r="S246" s="130">
        <f>(P244*P244)/((P245*P245*P246)*POWER((1-(SQRT((P247*P248)/(P246*P249)))),2))</f>
        <v>3.0737047550883037</v>
      </c>
      <c r="T246" s="128"/>
    </row>
    <row r="247" spans="1:20" ht="17.25" customHeight="1" x14ac:dyDescent="0.2">
      <c r="A247" s="3"/>
      <c r="B247" s="3"/>
      <c r="C247" s="3"/>
      <c r="D247" s="3"/>
      <c r="E247" s="3"/>
      <c r="F247" s="3"/>
      <c r="G247" s="3"/>
      <c r="H247" s="3"/>
      <c r="I247" s="3"/>
      <c r="J247" s="3"/>
      <c r="K247" s="3"/>
      <c r="L247" s="3"/>
      <c r="M247" s="3"/>
      <c r="O247" s="230" t="s">
        <v>296</v>
      </c>
      <c r="P247" s="126">
        <f>SIN((B71+I69)*PI()/180)</f>
        <v>0.54366282903738328</v>
      </c>
      <c r="Q247" s="10" t="s">
        <v>318</v>
      </c>
      <c r="S247" s="122"/>
    </row>
    <row r="248" spans="1:20" ht="17.25" customHeight="1" x14ac:dyDescent="0.2">
      <c r="A248" s="27" t="s">
        <v>327</v>
      </c>
      <c r="I248" s="28" t="s">
        <v>320</v>
      </c>
      <c r="J248" s="135">
        <f>B73</f>
        <v>1.9</v>
      </c>
      <c r="M248" s="3"/>
      <c r="O248" s="230" t="s">
        <v>315</v>
      </c>
      <c r="P248" s="126">
        <f>SIN((I69+B70)*PI()/180)</f>
        <v>0.41786707380107674</v>
      </c>
      <c r="Q248" s="10" t="s">
        <v>318</v>
      </c>
      <c r="S248" s="122"/>
    </row>
    <row r="249" spans="1:20" ht="17.25" customHeight="1" thickBot="1" x14ac:dyDescent="0.25">
      <c r="B249" s="3"/>
      <c r="C249" s="39" t="s">
        <v>12</v>
      </c>
      <c r="D249" s="137">
        <f>E245*I68*J248*J248*0.5</f>
        <v>0.93646720217832669</v>
      </c>
      <c r="E249" s="3" t="s">
        <v>321</v>
      </c>
      <c r="F249" s="9" t="s">
        <v>400</v>
      </c>
      <c r="G249" s="3"/>
      <c r="H249" s="3"/>
      <c r="I249" s="3"/>
      <c r="J249" s="3"/>
      <c r="K249" s="3"/>
      <c r="M249" s="3"/>
      <c r="O249" s="231" t="s">
        <v>298</v>
      </c>
      <c r="P249" s="127">
        <f>SIN(((B68+B70)*PI())/180)</f>
        <v>1</v>
      </c>
      <c r="Q249" s="123" t="s">
        <v>318</v>
      </c>
      <c r="R249" s="123"/>
      <c r="S249" s="124"/>
    </row>
    <row r="250" spans="1:20" ht="17.25" customHeight="1" x14ac:dyDescent="0.2">
      <c r="A250" s="3"/>
      <c r="C250" s="39" t="s">
        <v>434</v>
      </c>
      <c r="D250" s="137">
        <f>E246*I68*J248*J248*0.5</f>
        <v>7.5508784698737017</v>
      </c>
      <c r="E250" s="3" t="s">
        <v>321</v>
      </c>
      <c r="F250" s="9" t="s">
        <v>435</v>
      </c>
      <c r="G250" s="3"/>
      <c r="H250" s="3"/>
      <c r="I250" s="3"/>
      <c r="J250" s="3"/>
      <c r="K250" s="3"/>
      <c r="L250" s="3"/>
      <c r="M250" s="3"/>
    </row>
    <row r="251" spans="1:20" ht="17.25" customHeight="1" x14ac:dyDescent="0.2">
      <c r="A251" s="3" t="s">
        <v>322</v>
      </c>
      <c r="B251" s="3"/>
      <c r="C251" s="3"/>
      <c r="D251" s="3"/>
      <c r="E251" s="3"/>
      <c r="F251" s="3"/>
      <c r="G251" s="3"/>
      <c r="H251" s="3"/>
      <c r="I251" s="3"/>
      <c r="J251" s="3"/>
      <c r="K251" s="3"/>
      <c r="L251" s="3"/>
      <c r="M251" s="3"/>
    </row>
    <row r="252" spans="1:20" ht="17.25" customHeight="1" x14ac:dyDescent="0.2">
      <c r="A252" s="3" t="s">
        <v>323</v>
      </c>
      <c r="B252" s="10"/>
      <c r="C252" s="10"/>
      <c r="D252" s="10"/>
      <c r="E252" s="10"/>
      <c r="F252" s="10"/>
      <c r="G252" s="10"/>
      <c r="H252" s="10"/>
      <c r="I252" s="10"/>
      <c r="J252" s="10"/>
      <c r="K252" s="10"/>
      <c r="L252" s="3"/>
      <c r="M252" s="3"/>
    </row>
    <row r="253" spans="1:20" ht="17.25" customHeight="1" x14ac:dyDescent="0.2">
      <c r="A253" s="3"/>
      <c r="B253" s="10"/>
      <c r="C253" s="10"/>
      <c r="D253" s="10"/>
      <c r="E253" s="10"/>
      <c r="F253" s="10"/>
      <c r="G253" s="10"/>
      <c r="H253" s="10"/>
      <c r="I253" s="10"/>
      <c r="J253" s="10"/>
      <c r="K253" s="10"/>
      <c r="L253" s="3"/>
      <c r="M253" s="3"/>
    </row>
    <row r="254" spans="1:20" ht="17.25" customHeight="1" x14ac:dyDescent="0.2">
      <c r="A254" s="3"/>
      <c r="B254" s="10"/>
      <c r="C254" s="10"/>
      <c r="D254" s="10"/>
      <c r="E254" s="10"/>
      <c r="F254" s="10"/>
      <c r="G254" s="10"/>
      <c r="H254" s="10"/>
      <c r="I254" s="10"/>
      <c r="J254" s="10"/>
      <c r="K254" s="136">
        <f>B73*E245*I68</f>
        <v>0.98575494966139654</v>
      </c>
      <c r="L254" s="3"/>
      <c r="M254" s="3"/>
    </row>
    <row r="255" spans="1:20" ht="14.25" customHeight="1" x14ac:dyDescent="0.2">
      <c r="A255" s="3"/>
      <c r="B255" s="10"/>
      <c r="C255" s="10"/>
      <c r="D255" s="10"/>
      <c r="E255" s="10"/>
      <c r="F255" s="10"/>
      <c r="G255" s="10"/>
      <c r="H255" s="10"/>
      <c r="I255" s="10"/>
      <c r="J255" s="10"/>
      <c r="K255" s="3"/>
      <c r="L255" s="3"/>
      <c r="M255" s="3"/>
    </row>
    <row r="256" spans="1:20" ht="17.25" customHeight="1" x14ac:dyDescent="0.2">
      <c r="A256" s="27" t="s">
        <v>328</v>
      </c>
      <c r="B256" s="10"/>
      <c r="C256" s="10"/>
      <c r="D256" s="10"/>
      <c r="E256" s="10"/>
      <c r="F256" s="10"/>
      <c r="G256" s="10"/>
      <c r="H256" s="10"/>
      <c r="I256" s="3"/>
      <c r="J256" s="10"/>
      <c r="K256" s="10"/>
      <c r="L256" s="3"/>
      <c r="M256" s="3"/>
    </row>
    <row r="257" spans="1:13" ht="17.25" customHeight="1" x14ac:dyDescent="0.2">
      <c r="A257" s="41" t="s">
        <v>11</v>
      </c>
      <c r="B257" s="134">
        <v>0</v>
      </c>
      <c r="C257" s="41" t="s">
        <v>6</v>
      </c>
      <c r="D257" s="87">
        <f>K254</f>
        <v>0.98575494966139654</v>
      </c>
      <c r="E257" s="42"/>
      <c r="F257" s="42"/>
      <c r="G257" s="42"/>
      <c r="H257" s="41" t="s">
        <v>7</v>
      </c>
      <c r="I257" s="134">
        <f>(D257-D258)/(B257-B258)</f>
        <v>-0.51881839455862977</v>
      </c>
      <c r="J257" s="10"/>
      <c r="K257" s="3"/>
      <c r="L257" s="3"/>
    </row>
    <row r="258" spans="1:13" ht="17.25" customHeight="1" x14ac:dyDescent="0.2">
      <c r="A258" s="41" t="s">
        <v>11</v>
      </c>
      <c r="B258" s="87">
        <f>B257+J248</f>
        <v>1.9</v>
      </c>
      <c r="C258" s="41" t="s">
        <v>6</v>
      </c>
      <c r="D258" s="87">
        <f>K244</f>
        <v>0</v>
      </c>
      <c r="E258" s="42"/>
      <c r="F258" s="42"/>
      <c r="G258" s="42"/>
      <c r="H258" s="41" t="s">
        <v>8</v>
      </c>
      <c r="I258" s="134">
        <f>D257-I257*B257</f>
        <v>0.98575494966139654</v>
      </c>
      <c r="J258" s="10"/>
      <c r="K258" s="3"/>
      <c r="L258" s="3"/>
    </row>
    <row r="259" spans="1:13" ht="17.25" customHeight="1" x14ac:dyDescent="0.2">
      <c r="A259" s="3"/>
      <c r="B259" s="10"/>
      <c r="C259" s="10"/>
      <c r="D259" s="10"/>
      <c r="E259" s="10"/>
      <c r="F259" s="10"/>
      <c r="G259" s="10"/>
      <c r="H259" s="10"/>
      <c r="I259" s="10"/>
      <c r="J259" s="10"/>
      <c r="K259" s="3"/>
      <c r="L259" s="3"/>
      <c r="M259" s="3"/>
    </row>
    <row r="260" spans="1:13" ht="17.25" customHeight="1" x14ac:dyDescent="0.2">
      <c r="A260" s="261" t="s">
        <v>325</v>
      </c>
      <c r="B260" s="261"/>
      <c r="C260" s="261"/>
      <c r="D260" s="261"/>
      <c r="E260" s="261"/>
      <c r="F260" s="261"/>
      <c r="G260" s="261"/>
      <c r="H260" s="261"/>
      <c r="I260" s="261"/>
      <c r="J260" s="261"/>
      <c r="K260" s="261"/>
      <c r="L260" s="261"/>
      <c r="M260" s="261"/>
    </row>
    <row r="261" spans="1:13" ht="17.25" customHeight="1" x14ac:dyDescent="0.2">
      <c r="A261" s="3"/>
      <c r="B261" s="10"/>
      <c r="C261" s="10"/>
      <c r="D261" s="10"/>
      <c r="E261" s="10"/>
      <c r="F261" s="10"/>
      <c r="G261" s="10"/>
      <c r="H261" s="10"/>
      <c r="I261" s="10"/>
      <c r="J261" s="10"/>
      <c r="K261" s="3"/>
      <c r="L261" s="3"/>
      <c r="M261" s="3"/>
    </row>
    <row r="262" spans="1:13" ht="17.25" customHeight="1" x14ac:dyDescent="0.2">
      <c r="A262" s="3"/>
      <c r="B262" s="3"/>
      <c r="C262" s="3"/>
      <c r="D262" s="3"/>
      <c r="E262" s="3"/>
      <c r="F262" s="3"/>
      <c r="G262" s="3"/>
      <c r="H262" s="3"/>
      <c r="I262" s="3"/>
      <c r="J262" s="3"/>
      <c r="K262" s="3"/>
      <c r="L262" s="3"/>
      <c r="M262" s="3"/>
    </row>
    <row r="263" spans="1:13" ht="17.25" customHeight="1" x14ac:dyDescent="0.2">
      <c r="A263" s="10"/>
      <c r="B263" s="3"/>
      <c r="C263" s="3"/>
      <c r="D263" s="3"/>
      <c r="E263" s="3"/>
      <c r="F263" s="3"/>
      <c r="G263" s="3"/>
      <c r="H263" s="3"/>
      <c r="I263" s="3"/>
      <c r="J263" s="3"/>
      <c r="K263" s="3"/>
      <c r="L263" s="3"/>
      <c r="M263" s="3"/>
    </row>
    <row r="264" spans="1:13" ht="17.25" customHeight="1" x14ac:dyDescent="0.2">
      <c r="A264" s="10"/>
      <c r="B264" s="3"/>
      <c r="C264" s="3"/>
      <c r="D264" s="3"/>
      <c r="E264" s="3"/>
      <c r="F264" s="3"/>
      <c r="G264" s="3"/>
      <c r="H264" s="3"/>
      <c r="I264" s="3"/>
      <c r="J264" s="3"/>
      <c r="K264" s="3"/>
      <c r="L264" s="3"/>
      <c r="M264" s="3"/>
    </row>
    <row r="265" spans="1:13" ht="17.25" customHeight="1" x14ac:dyDescent="0.2">
      <c r="A265" s="10"/>
      <c r="B265" s="10"/>
      <c r="C265" s="10"/>
      <c r="D265" s="10"/>
      <c r="E265" s="10"/>
      <c r="F265" s="10"/>
      <c r="G265" s="10"/>
      <c r="H265" s="10"/>
      <c r="I265" s="10"/>
      <c r="J265" s="43"/>
      <c r="K265" s="43"/>
      <c r="L265" s="43"/>
      <c r="M265" s="3"/>
    </row>
    <row r="266" spans="1:13" ht="17.25" customHeight="1" x14ac:dyDescent="0.2">
      <c r="A266" s="10"/>
      <c r="B266" s="10"/>
      <c r="C266" s="10"/>
      <c r="D266" s="10"/>
      <c r="E266" s="10"/>
      <c r="F266" s="10"/>
      <c r="G266" s="10"/>
      <c r="H266" s="10"/>
      <c r="I266" s="10"/>
      <c r="J266" s="43"/>
      <c r="K266" s="43"/>
      <c r="L266" s="43"/>
      <c r="M266" s="3"/>
    </row>
    <row r="267" spans="1:13" ht="17.25" customHeight="1" x14ac:dyDescent="0.2">
      <c r="A267" s="3"/>
      <c r="B267" s="3"/>
      <c r="C267" s="3"/>
      <c r="D267" s="3"/>
      <c r="E267" s="3"/>
      <c r="F267" s="3"/>
      <c r="G267" s="3"/>
      <c r="H267" s="3"/>
      <c r="I267" s="3"/>
      <c r="J267" s="3"/>
      <c r="K267" s="3"/>
      <c r="L267" s="3"/>
      <c r="M267" s="3"/>
    </row>
    <row r="268" spans="1:13" ht="17.25" customHeight="1" x14ac:dyDescent="0.2">
      <c r="A268" s="3"/>
      <c r="B268" s="3"/>
      <c r="C268" s="3"/>
      <c r="D268" s="3"/>
      <c r="E268" s="3"/>
      <c r="F268" s="3"/>
      <c r="G268" s="3"/>
      <c r="H268" s="3"/>
      <c r="I268" s="3"/>
      <c r="J268" s="3"/>
      <c r="K268" s="3"/>
      <c r="L268" s="3"/>
      <c r="M268" s="3"/>
    </row>
    <row r="269" spans="1:13" ht="17.25" customHeight="1" x14ac:dyDescent="0.2">
      <c r="A269" s="3"/>
      <c r="B269" s="3"/>
      <c r="C269" s="3"/>
      <c r="D269" s="3"/>
      <c r="E269" s="3"/>
      <c r="F269" s="3"/>
      <c r="G269" s="3"/>
      <c r="H269" s="3"/>
      <c r="I269" s="3"/>
      <c r="J269" s="3"/>
      <c r="K269" s="3"/>
      <c r="L269" s="3"/>
      <c r="M269" s="3"/>
    </row>
    <row r="270" spans="1:13" ht="17.25" customHeight="1" x14ac:dyDescent="0.2">
      <c r="A270" s="3"/>
      <c r="B270" s="3"/>
      <c r="C270" s="3"/>
      <c r="D270" s="3"/>
      <c r="E270" s="3"/>
      <c r="F270" s="3"/>
      <c r="G270" s="3"/>
      <c r="H270" s="3"/>
      <c r="I270" s="3"/>
      <c r="J270" s="3"/>
      <c r="K270" s="3"/>
      <c r="L270" s="3"/>
      <c r="M270" s="3"/>
    </row>
    <row r="271" spans="1:13" ht="17.25" customHeight="1" x14ac:dyDescent="0.2">
      <c r="A271" s="3"/>
      <c r="B271" s="3"/>
      <c r="C271" s="3"/>
      <c r="D271" s="3"/>
      <c r="E271" s="3"/>
      <c r="F271" s="3"/>
      <c r="G271" s="3"/>
      <c r="H271" s="3"/>
      <c r="I271" s="3"/>
      <c r="J271" s="3"/>
      <c r="K271" s="3"/>
      <c r="L271" s="3"/>
      <c r="M271" s="3"/>
    </row>
    <row r="272" spans="1:13" ht="17.25" customHeight="1" x14ac:dyDescent="0.2">
      <c r="A272" s="3"/>
      <c r="B272" s="3"/>
      <c r="C272" s="3"/>
      <c r="D272" s="3"/>
      <c r="E272" s="3"/>
      <c r="F272" s="3"/>
      <c r="G272" s="3"/>
      <c r="H272" s="3"/>
      <c r="I272" s="3"/>
      <c r="J272" s="3"/>
      <c r="K272" s="3"/>
      <c r="L272" s="3"/>
      <c r="M272" s="3"/>
    </row>
    <row r="273" spans="1:13" ht="17.25" customHeight="1" x14ac:dyDescent="0.2">
      <c r="A273" s="3"/>
      <c r="B273" s="3"/>
      <c r="C273" s="3"/>
      <c r="D273" s="3"/>
      <c r="E273" s="3"/>
      <c r="F273" s="3"/>
      <c r="G273" s="3"/>
      <c r="H273" s="3"/>
      <c r="I273" s="3"/>
      <c r="J273" s="3"/>
      <c r="K273" s="3"/>
      <c r="L273" s="3"/>
      <c r="M273" s="3"/>
    </row>
    <row r="274" spans="1:13" ht="17.25" customHeight="1" x14ac:dyDescent="0.2">
      <c r="A274" s="3"/>
      <c r="B274" s="3"/>
      <c r="C274" s="3"/>
      <c r="D274" s="3"/>
      <c r="E274" s="3"/>
      <c r="F274" s="3"/>
      <c r="G274" s="3"/>
      <c r="H274" s="3"/>
      <c r="I274" s="3"/>
      <c r="J274" s="3"/>
      <c r="K274" s="3"/>
      <c r="L274" s="3"/>
      <c r="M274" s="3"/>
    </row>
    <row r="275" spans="1:13" ht="17.25" customHeight="1" x14ac:dyDescent="0.2">
      <c r="A275" s="3"/>
      <c r="B275" s="3"/>
      <c r="C275" s="3"/>
      <c r="D275" s="3"/>
      <c r="E275" s="3"/>
      <c r="F275" s="3"/>
      <c r="G275" s="3"/>
      <c r="H275" s="3"/>
      <c r="I275" s="3"/>
      <c r="J275" s="3"/>
      <c r="K275" s="3"/>
      <c r="L275" s="3"/>
      <c r="M275" s="3"/>
    </row>
    <row r="276" spans="1:13" ht="17.25" customHeight="1" x14ac:dyDescent="0.2">
      <c r="A276" s="3"/>
      <c r="B276" s="3"/>
      <c r="C276" s="3"/>
      <c r="D276" s="3"/>
      <c r="E276" s="3"/>
      <c r="F276" s="3"/>
      <c r="G276" s="3"/>
      <c r="H276" s="3"/>
      <c r="I276" s="3"/>
      <c r="J276" s="3"/>
      <c r="K276" s="3"/>
      <c r="L276" s="3"/>
      <c r="M276" s="3"/>
    </row>
    <row r="277" spans="1:13" ht="17.25" customHeight="1" x14ac:dyDescent="0.2">
      <c r="A277" s="3"/>
      <c r="B277" s="3"/>
      <c r="C277" s="3"/>
      <c r="D277" s="3"/>
      <c r="E277" s="3"/>
      <c r="F277" s="3"/>
      <c r="G277" s="3"/>
      <c r="H277" s="3"/>
      <c r="I277" s="3"/>
      <c r="J277" s="3"/>
      <c r="K277" s="3"/>
      <c r="L277" s="3"/>
      <c r="M277" s="3"/>
    </row>
    <row r="278" spans="1:13" ht="17.25" customHeight="1" x14ac:dyDescent="0.2">
      <c r="A278" s="3"/>
      <c r="B278" s="3"/>
      <c r="C278" s="3"/>
      <c r="D278" s="3"/>
      <c r="E278" s="3"/>
      <c r="F278" s="3"/>
      <c r="G278" s="3"/>
      <c r="H278" s="3"/>
      <c r="I278" s="3"/>
      <c r="J278" s="3"/>
      <c r="K278" s="3"/>
      <c r="L278" s="3"/>
      <c r="M278" s="3"/>
    </row>
    <row r="279" spans="1:13" ht="17.25" customHeight="1" x14ac:dyDescent="0.2">
      <c r="A279" s="3"/>
      <c r="B279" s="3"/>
      <c r="C279" s="3"/>
      <c r="D279" s="3"/>
      <c r="E279" s="3"/>
      <c r="F279" s="3"/>
      <c r="G279" s="3"/>
      <c r="H279" s="3"/>
      <c r="I279" s="3"/>
      <c r="J279" s="3"/>
      <c r="K279" s="3"/>
      <c r="L279" s="3"/>
      <c r="M279" s="3"/>
    </row>
    <row r="280" spans="1:13" ht="17.25" customHeight="1" x14ac:dyDescent="0.2">
      <c r="A280" s="118" t="s">
        <v>302</v>
      </c>
      <c r="B280" s="3"/>
      <c r="C280" s="3"/>
      <c r="D280" s="3"/>
      <c r="E280" s="3"/>
      <c r="F280" s="3"/>
      <c r="G280" s="3"/>
      <c r="H280" s="3"/>
      <c r="I280" s="3"/>
      <c r="J280" s="3"/>
      <c r="K280" s="3"/>
      <c r="L280" s="3"/>
      <c r="M280" s="3"/>
    </row>
    <row r="281" spans="1:13" ht="17.25" customHeight="1" x14ac:dyDescent="0.2">
      <c r="A281" s="3" t="s">
        <v>306</v>
      </c>
      <c r="B281" s="3"/>
      <c r="C281" s="3"/>
      <c r="D281" s="3"/>
      <c r="E281" s="3"/>
      <c r="F281" s="3"/>
      <c r="G281" s="3"/>
      <c r="H281" s="3"/>
      <c r="I281" s="3"/>
      <c r="J281" s="3"/>
      <c r="K281" s="3"/>
      <c r="L281" s="3"/>
      <c r="M281" s="3"/>
    </row>
    <row r="282" spans="1:13" ht="17.25" customHeight="1" x14ac:dyDescent="0.2">
      <c r="A282" s="3" t="s">
        <v>303</v>
      </c>
      <c r="B282" s="3"/>
      <c r="C282" s="3"/>
      <c r="D282" s="3"/>
      <c r="E282" s="3"/>
      <c r="F282" s="3"/>
      <c r="G282" s="3"/>
      <c r="H282" s="3"/>
      <c r="I282" s="3"/>
      <c r="J282" s="3"/>
      <c r="K282" s="3"/>
      <c r="L282" s="3"/>
      <c r="M282" s="3"/>
    </row>
    <row r="283" spans="1:13" ht="17.25" customHeight="1" x14ac:dyDescent="0.2">
      <c r="A283" s="3"/>
      <c r="B283" s="3"/>
      <c r="C283" s="3"/>
      <c r="D283" s="3"/>
      <c r="E283" s="3"/>
      <c r="F283" s="3"/>
      <c r="G283" s="3"/>
      <c r="H283" s="3"/>
      <c r="I283" s="3"/>
      <c r="J283" s="3"/>
      <c r="K283" s="3"/>
      <c r="L283" s="3"/>
      <c r="M283" s="3"/>
    </row>
    <row r="284" spans="1:13" ht="17.25" customHeight="1" x14ac:dyDescent="0.2">
      <c r="A284" s="3"/>
      <c r="B284" s="3"/>
      <c r="C284" s="3"/>
      <c r="D284" s="3"/>
      <c r="E284" s="3"/>
      <c r="F284" s="3"/>
      <c r="G284" s="3"/>
      <c r="H284" s="3"/>
      <c r="I284" s="3"/>
      <c r="J284" s="3"/>
      <c r="K284" s="3"/>
      <c r="L284" s="3"/>
      <c r="M284" s="3"/>
    </row>
    <row r="285" spans="1:13" ht="17.25" customHeight="1" x14ac:dyDescent="0.2">
      <c r="A285" s="3"/>
      <c r="B285" s="3"/>
      <c r="C285" s="3"/>
      <c r="D285" s="3"/>
      <c r="E285" s="3"/>
      <c r="F285" s="3"/>
      <c r="G285" s="3"/>
      <c r="H285" s="3"/>
      <c r="I285" s="3"/>
      <c r="J285" s="3"/>
      <c r="K285" s="3"/>
      <c r="L285" s="3"/>
      <c r="M285" s="3"/>
    </row>
    <row r="286" spans="1:13" ht="17.25" customHeight="1" x14ac:dyDescent="0.2">
      <c r="A286" s="3"/>
      <c r="B286" s="3"/>
      <c r="C286" s="3"/>
      <c r="D286" s="3"/>
      <c r="E286" s="3"/>
      <c r="F286" s="3"/>
      <c r="G286" s="3"/>
      <c r="H286" s="3"/>
      <c r="I286" s="3"/>
      <c r="J286" s="3"/>
      <c r="K286" s="3"/>
      <c r="L286" s="3"/>
      <c r="M286" s="3"/>
    </row>
    <row r="287" spans="1:13" ht="17.25" customHeight="1" x14ac:dyDescent="0.2">
      <c r="A287" s="3"/>
      <c r="B287" s="3"/>
      <c r="C287" s="3"/>
      <c r="D287" s="3"/>
      <c r="E287" s="3"/>
      <c r="F287" s="3"/>
      <c r="G287" s="3"/>
      <c r="H287" s="3"/>
      <c r="I287" s="3"/>
      <c r="J287" s="3"/>
      <c r="K287" s="3"/>
      <c r="L287" s="3"/>
      <c r="M287" s="3"/>
    </row>
    <row r="288" spans="1:13" ht="17.25" customHeight="1" x14ac:dyDescent="0.2">
      <c r="A288" s="3" t="s">
        <v>326</v>
      </c>
      <c r="B288" s="3"/>
      <c r="C288" s="3"/>
      <c r="D288" s="3"/>
      <c r="E288" s="3"/>
      <c r="F288" s="3"/>
      <c r="G288" s="3"/>
      <c r="H288" s="3"/>
      <c r="I288" s="3"/>
      <c r="J288" s="3"/>
      <c r="K288" s="3"/>
      <c r="L288" s="3"/>
      <c r="M288" s="3"/>
    </row>
    <row r="289" spans="1:16" ht="17.25" customHeight="1" x14ac:dyDescent="0.2">
      <c r="A289" s="3" t="s">
        <v>401</v>
      </c>
      <c r="B289" s="3"/>
      <c r="C289" s="3"/>
      <c r="D289" s="3"/>
      <c r="E289" s="3"/>
      <c r="F289" s="3"/>
      <c r="G289" s="3"/>
      <c r="H289" s="3"/>
      <c r="I289" s="3"/>
      <c r="J289" s="3"/>
      <c r="K289" s="3"/>
      <c r="L289" s="3"/>
      <c r="M289" s="3"/>
    </row>
    <row r="290" spans="1:16" ht="17.25" customHeight="1" x14ac:dyDescent="0.2">
      <c r="A290" s="28" t="s">
        <v>428</v>
      </c>
      <c r="B290" s="166">
        <f>2*I70*SQRT(E245)*B73</f>
        <v>6.5693174386362161</v>
      </c>
      <c r="C290" s="3" t="s">
        <v>430</v>
      </c>
      <c r="D290" s="10"/>
      <c r="E290" s="3"/>
      <c r="F290" s="3"/>
      <c r="G290" s="3"/>
      <c r="H290" s="3"/>
      <c r="I290" s="3"/>
      <c r="J290" s="3"/>
      <c r="K290" s="3"/>
      <c r="L290" s="3"/>
      <c r="M290" s="3"/>
    </row>
    <row r="291" spans="1:16" ht="17.25" customHeight="1" x14ac:dyDescent="0.2">
      <c r="A291" s="28" t="s">
        <v>429</v>
      </c>
      <c r="B291" s="166">
        <f>2*I70*SQRT(E246)*B73</f>
        <v>18.654031356295206</v>
      </c>
      <c r="C291" s="3" t="s">
        <v>431</v>
      </c>
      <c r="D291" s="10"/>
      <c r="E291" s="3"/>
      <c r="F291" s="3"/>
      <c r="G291" s="3"/>
      <c r="H291" s="3"/>
      <c r="I291" s="3"/>
      <c r="J291" s="3"/>
      <c r="K291" s="3"/>
      <c r="L291" s="3"/>
      <c r="M291" s="3"/>
      <c r="P291" s="10">
        <f>1.481*0.4229/0.5</f>
        <v>1.2526298</v>
      </c>
    </row>
    <row r="292" spans="1:16" ht="17.25" customHeight="1" x14ac:dyDescent="0.2">
      <c r="A292" s="10"/>
      <c r="B292" s="3"/>
      <c r="C292" s="3"/>
      <c r="D292" s="3"/>
      <c r="E292" s="3"/>
      <c r="F292" s="3"/>
      <c r="G292" s="3"/>
      <c r="H292" s="3"/>
      <c r="I292" s="3"/>
      <c r="J292" s="3"/>
      <c r="K292" s="3"/>
      <c r="L292" s="3"/>
      <c r="M292" s="3"/>
    </row>
    <row r="293" spans="1:16" ht="17.25" customHeight="1" x14ac:dyDescent="0.2">
      <c r="A293" s="3" t="s">
        <v>332</v>
      </c>
      <c r="E293" s="305" t="s">
        <v>304</v>
      </c>
      <c r="F293" s="305"/>
      <c r="G293" s="305"/>
      <c r="H293" s="305"/>
      <c r="I293" s="305"/>
      <c r="J293" s="305"/>
      <c r="K293" s="305"/>
      <c r="L293" s="305"/>
      <c r="M293" s="305"/>
    </row>
    <row r="294" spans="1:16" ht="17.25" customHeight="1" x14ac:dyDescent="0.2">
      <c r="A294" s="3"/>
      <c r="B294" s="39" t="s">
        <v>329</v>
      </c>
      <c r="C294" s="167">
        <f>2*I70*SQRT(E245)/(I68*E245)</f>
        <v>6.664250015577152</v>
      </c>
      <c r="D294" s="3"/>
      <c r="E294" s="3"/>
      <c r="F294" s="10"/>
      <c r="G294" s="10"/>
      <c r="H294" s="3"/>
      <c r="I294" s="3"/>
      <c r="J294" s="3"/>
      <c r="K294" s="3"/>
      <c r="L294" s="3"/>
      <c r="M294" s="3"/>
    </row>
    <row r="295" spans="1:16" ht="17.25" customHeight="1" x14ac:dyDescent="0.2">
      <c r="A295" s="3"/>
      <c r="B295" s="3"/>
      <c r="C295" s="3"/>
      <c r="D295" s="3"/>
      <c r="E295" s="3"/>
      <c r="F295" s="3"/>
      <c r="G295" s="3"/>
      <c r="H295" s="3"/>
      <c r="I295" s="3"/>
      <c r="J295" s="3"/>
      <c r="K295" s="3"/>
      <c r="L295" s="3"/>
      <c r="M295" s="3"/>
    </row>
    <row r="296" spans="1:16" ht="17.25" customHeight="1" x14ac:dyDescent="0.2">
      <c r="A296" s="3" t="s">
        <v>330</v>
      </c>
      <c r="B296" s="10"/>
      <c r="C296" s="10"/>
      <c r="D296" s="10"/>
      <c r="H296" s="3"/>
      <c r="I296" s="3"/>
      <c r="J296" s="3"/>
      <c r="K296" s="3"/>
      <c r="L296" s="3"/>
      <c r="M296" s="3"/>
    </row>
    <row r="297" spans="1:16" ht="17.25" customHeight="1" x14ac:dyDescent="0.2">
      <c r="A297" s="3" t="s">
        <v>331</v>
      </c>
      <c r="B297" s="10"/>
      <c r="C297" s="10"/>
      <c r="D297" s="10"/>
      <c r="E297" s="3"/>
      <c r="F297" s="3"/>
      <c r="G297" s="3"/>
      <c r="H297" s="3"/>
      <c r="I297" s="3"/>
      <c r="J297" s="3"/>
      <c r="K297" s="3"/>
      <c r="L297" s="3"/>
      <c r="M297" s="3"/>
    </row>
    <row r="298" spans="1:16" ht="17.25" customHeight="1" x14ac:dyDescent="0.2">
      <c r="A298" s="27" t="s">
        <v>432</v>
      </c>
      <c r="B298" s="10"/>
      <c r="C298" s="10"/>
      <c r="D298" s="3"/>
      <c r="E298" s="3"/>
      <c r="F298" s="3"/>
      <c r="G298" s="3"/>
      <c r="H298" s="3"/>
      <c r="I298" s="3"/>
      <c r="J298" s="3"/>
      <c r="K298" s="3"/>
      <c r="L298" s="3"/>
      <c r="M298" s="3"/>
    </row>
    <row r="299" spans="1:16" ht="17.25" customHeight="1" x14ac:dyDescent="0.2">
      <c r="A299" s="3"/>
      <c r="B299" s="3"/>
      <c r="C299" s="3"/>
      <c r="D299" s="3"/>
      <c r="E299" s="3"/>
      <c r="F299" s="3"/>
      <c r="G299" s="3"/>
      <c r="H299" s="3"/>
      <c r="I299" s="3"/>
      <c r="J299" s="3"/>
      <c r="K299" s="3"/>
      <c r="L299" s="3"/>
      <c r="M299" s="3"/>
    </row>
    <row r="300" spans="1:16" ht="17.25" customHeight="1" x14ac:dyDescent="0.2">
      <c r="A300" s="3"/>
      <c r="B300" s="3"/>
      <c r="C300" s="3"/>
      <c r="D300" s="3"/>
      <c r="E300" s="3"/>
      <c r="F300" s="3"/>
      <c r="G300" s="3"/>
      <c r="H300" s="3"/>
      <c r="I300" s="3"/>
      <c r="J300" s="3"/>
      <c r="K300" s="3"/>
      <c r="L300" s="3"/>
      <c r="M300" s="3"/>
    </row>
    <row r="301" spans="1:16" ht="17.25" customHeight="1" x14ac:dyDescent="0.2">
      <c r="A301" s="142" t="s">
        <v>320</v>
      </c>
      <c r="B301" s="168">
        <f>J248</f>
        <v>1.9</v>
      </c>
      <c r="C301" s="3"/>
      <c r="D301" s="3"/>
      <c r="E301" s="3"/>
      <c r="F301" s="3"/>
      <c r="G301" s="3"/>
      <c r="H301" s="3"/>
      <c r="I301" s="3"/>
      <c r="J301" s="3"/>
      <c r="K301" s="3"/>
      <c r="L301" s="3"/>
      <c r="M301" s="3"/>
    </row>
    <row r="302" spans="1:16" ht="17.25" customHeight="1" x14ac:dyDescent="0.2">
      <c r="A302" s="3"/>
      <c r="B302" s="3"/>
      <c r="C302" s="3"/>
      <c r="D302" s="3"/>
      <c r="E302" s="3"/>
      <c r="F302" s="3"/>
      <c r="G302" s="3"/>
      <c r="H302" s="3"/>
      <c r="I302" s="3"/>
      <c r="J302" s="3"/>
      <c r="K302" s="3"/>
      <c r="L302" s="3"/>
      <c r="M302" s="3"/>
    </row>
    <row r="303" spans="1:16" ht="17.25" customHeight="1" x14ac:dyDescent="0.2">
      <c r="A303" s="3"/>
      <c r="B303" s="3"/>
      <c r="C303" s="3"/>
      <c r="D303" s="3"/>
      <c r="E303" s="3"/>
      <c r="F303" s="3"/>
      <c r="G303" s="3"/>
      <c r="H303" s="3"/>
      <c r="I303" s="3"/>
      <c r="J303" s="3"/>
      <c r="K303" s="3"/>
      <c r="L303" s="3"/>
      <c r="M303" s="3"/>
    </row>
    <row r="304" spans="1:16" ht="17.25" customHeight="1" x14ac:dyDescent="0.2">
      <c r="A304" s="3"/>
      <c r="B304" s="3"/>
      <c r="C304" s="3"/>
      <c r="D304" s="3" t="s">
        <v>333</v>
      </c>
      <c r="E304" s="3"/>
      <c r="F304" s="3"/>
      <c r="G304" s="3"/>
      <c r="H304" s="3"/>
      <c r="I304" s="3"/>
      <c r="J304" s="3"/>
      <c r="K304" s="3"/>
      <c r="L304" s="3"/>
      <c r="M304" s="3"/>
    </row>
    <row r="305" spans="1:13" ht="17.25" customHeight="1" x14ac:dyDescent="0.2">
      <c r="A305" s="3"/>
      <c r="B305" s="302">
        <f>2*I70*SQRT(E245)</f>
        <v>3.4575354940190612</v>
      </c>
      <c r="C305" s="302"/>
      <c r="D305" s="3" t="s">
        <v>334</v>
      </c>
      <c r="E305" s="3"/>
      <c r="F305" s="3"/>
      <c r="G305" s="3"/>
      <c r="H305" s="3"/>
      <c r="I305" s="3"/>
      <c r="J305" s="3"/>
      <c r="K305" s="3"/>
      <c r="L305" s="3"/>
      <c r="M305" s="3"/>
    </row>
    <row r="306" spans="1:13" ht="17.25" customHeight="1" x14ac:dyDescent="0.2">
      <c r="A306" s="27" t="s">
        <v>433</v>
      </c>
      <c r="B306" s="10"/>
      <c r="C306" s="10"/>
      <c r="D306" s="39" t="s">
        <v>320</v>
      </c>
      <c r="E306" s="138">
        <v>0</v>
      </c>
      <c r="F306" s="39" t="s">
        <v>336</v>
      </c>
      <c r="G306" s="137">
        <f>K244-B305</f>
        <v>-3.4575354940190612</v>
      </c>
      <c r="H306" s="3"/>
      <c r="K306" s="3"/>
      <c r="L306" s="3"/>
      <c r="M306" s="3"/>
    </row>
    <row r="307" spans="1:13" ht="17.25" customHeight="1" x14ac:dyDescent="0.2">
      <c r="A307" s="10"/>
      <c r="B307" s="10"/>
      <c r="C307" s="3"/>
      <c r="D307" s="39" t="s">
        <v>320</v>
      </c>
      <c r="E307" s="135">
        <f>J248</f>
        <v>1.9</v>
      </c>
      <c r="F307" s="39" t="s">
        <v>336</v>
      </c>
      <c r="G307" s="137">
        <f>IF(B305=0, 0, K254-B305)</f>
        <v>-2.4717805443576646</v>
      </c>
      <c r="H307" s="3" t="str">
        <f>IF(G307&gt;0,"Calcular la Pa despues de la fisura", IF(G307=0, "no hay cohesion en el suelo", "Toda la altura del relleno esta fisurada"))</f>
        <v>Toda la altura del relleno esta fisurada</v>
      </c>
      <c r="K307" s="3"/>
      <c r="L307" s="3"/>
      <c r="M307" s="3"/>
    </row>
    <row r="308" spans="1:13" ht="17.25" customHeight="1" x14ac:dyDescent="0.2">
      <c r="A308" s="10"/>
      <c r="B308" s="10"/>
      <c r="C308" s="10"/>
      <c r="D308" s="3" t="s">
        <v>337</v>
      </c>
      <c r="E308" s="10"/>
      <c r="F308" s="39"/>
      <c r="G308" s="3"/>
      <c r="H308" s="3"/>
      <c r="I308" s="10"/>
      <c r="J308" s="10"/>
      <c r="K308" s="10"/>
      <c r="L308" s="10"/>
      <c r="M308" s="3"/>
    </row>
    <row r="309" spans="1:13" ht="17.25" customHeight="1" x14ac:dyDescent="0.2">
      <c r="A309" s="142" t="s">
        <v>320</v>
      </c>
      <c r="B309" s="168">
        <f>B301</f>
        <v>1.9</v>
      </c>
      <c r="C309" s="3"/>
      <c r="D309" s="39" t="s">
        <v>338</v>
      </c>
      <c r="E309" s="140">
        <f>IF(G307&lt;=0,0,E307-C294)</f>
        <v>0</v>
      </c>
      <c r="F309" s="3" t="str">
        <f>IF(E309=0,"no hay cohesion en el suelo", IF(E309&lt;0,"No habra empuje despues de la rotura, ya que el suelo de contacto de habra separado del muro", "Calcular el empuje para la zona no fisurada"))</f>
        <v>no hay cohesion en el suelo</v>
      </c>
      <c r="G309" s="10"/>
      <c r="H309" s="10"/>
      <c r="I309" s="3"/>
      <c r="J309" s="10"/>
      <c r="K309" s="10"/>
      <c r="L309" s="10"/>
      <c r="M309" s="10"/>
    </row>
    <row r="310" spans="1:13" ht="17.25" customHeight="1" x14ac:dyDescent="0.2">
      <c r="A310" s="3"/>
      <c r="B310" s="3"/>
      <c r="C310" s="3"/>
      <c r="D310" s="39" t="s">
        <v>335</v>
      </c>
      <c r="E310" s="139">
        <f>IF(G307&lt;0, 0, (E309)*G307/2)</f>
        <v>0</v>
      </c>
      <c r="F310" s="3" t="str">
        <f>IF(E310=0," No existe Pa despues de la fisura","Pa  final en la zona no fisurada")</f>
        <v xml:space="preserve"> No existe Pa despues de la fisura</v>
      </c>
      <c r="G310" s="10"/>
      <c r="H310" s="10"/>
      <c r="I310" s="10"/>
      <c r="J310" s="10"/>
      <c r="K310" s="10"/>
      <c r="L310" s="10"/>
      <c r="M310" s="10"/>
    </row>
    <row r="311" spans="1:13" ht="17.25" customHeight="1" x14ac:dyDescent="0.2">
      <c r="A311" s="10"/>
      <c r="B311" s="10"/>
      <c r="C311" s="3"/>
      <c r="D311" s="3" t="s">
        <v>480</v>
      </c>
      <c r="E311" s="3"/>
      <c r="F311" s="3"/>
      <c r="G311" s="3"/>
      <c r="H311" s="3"/>
      <c r="I311" s="3"/>
      <c r="J311" s="3"/>
      <c r="K311" s="3"/>
      <c r="L311" s="3"/>
      <c r="M311" s="3"/>
    </row>
    <row r="312" spans="1:13" ht="17.25" customHeight="1" x14ac:dyDescent="0.2">
      <c r="A312" s="3"/>
      <c r="B312" s="3"/>
      <c r="C312" s="3"/>
      <c r="D312" s="10"/>
      <c r="E312" s="10"/>
      <c r="F312" s="10"/>
      <c r="G312" s="10"/>
      <c r="H312" s="10"/>
      <c r="I312" s="10"/>
      <c r="J312" s="10"/>
      <c r="K312" s="10"/>
      <c r="L312" s="10"/>
      <c r="M312" s="10"/>
    </row>
    <row r="313" spans="1:13" ht="17.25" customHeight="1" x14ac:dyDescent="0.2">
      <c r="A313" s="3"/>
      <c r="B313" s="3"/>
      <c r="C313" s="3"/>
      <c r="D313" s="3"/>
      <c r="E313" s="3"/>
      <c r="F313" s="3"/>
      <c r="G313" s="3"/>
      <c r="H313" s="3"/>
      <c r="I313" s="3"/>
      <c r="J313" s="3"/>
      <c r="K313" s="3"/>
      <c r="L313" s="3"/>
      <c r="M313" s="3"/>
    </row>
    <row r="314" spans="1:13" ht="17.25" customHeight="1" x14ac:dyDescent="0.2">
      <c r="A314" s="3"/>
      <c r="B314" s="302">
        <f>2*I70*SQRT(E246)</f>
        <v>9.8179112401553716</v>
      </c>
      <c r="C314" s="302"/>
      <c r="D314" s="3"/>
      <c r="E314" s="3"/>
      <c r="F314" s="3"/>
      <c r="G314" s="3"/>
      <c r="H314" s="3"/>
      <c r="I314" s="3"/>
      <c r="J314" s="3"/>
      <c r="K314" s="3"/>
      <c r="L314" s="3"/>
      <c r="M314" s="3"/>
    </row>
    <row r="315" spans="1:13" ht="17.25" customHeight="1" x14ac:dyDescent="0.2">
      <c r="A315" s="3"/>
      <c r="B315" s="10"/>
      <c r="C315" s="10"/>
      <c r="D315" s="3"/>
      <c r="E315" s="3"/>
      <c r="F315" s="3"/>
      <c r="G315" s="3"/>
      <c r="H315" s="3"/>
      <c r="I315" s="3"/>
      <c r="J315" s="3"/>
      <c r="K315" s="3"/>
      <c r="L315" s="3"/>
      <c r="M315" s="3"/>
    </row>
    <row r="316" spans="1:13" ht="17.25" customHeight="1" x14ac:dyDescent="0.2">
      <c r="A316" s="3"/>
      <c r="B316" s="3"/>
      <c r="C316" s="3"/>
      <c r="D316" s="3"/>
      <c r="E316" s="3"/>
      <c r="F316" s="3"/>
      <c r="G316" s="3"/>
      <c r="H316" s="3"/>
      <c r="I316" s="3"/>
      <c r="J316" s="3"/>
      <c r="K316" s="3"/>
      <c r="L316" s="3"/>
      <c r="M316" s="3"/>
    </row>
    <row r="317" spans="1:13" ht="17.25" customHeight="1" x14ac:dyDescent="0.2">
      <c r="A317" s="3"/>
      <c r="B317" s="3"/>
      <c r="C317" s="3"/>
      <c r="D317" s="3"/>
      <c r="E317" s="3"/>
      <c r="F317" s="3"/>
      <c r="G317" s="3"/>
      <c r="H317" s="3"/>
      <c r="I317" s="3"/>
      <c r="J317" s="3"/>
      <c r="K317" s="3"/>
      <c r="L317" s="3"/>
      <c r="M317" s="3"/>
    </row>
    <row r="318" spans="1:13" ht="17.25" customHeight="1" x14ac:dyDescent="0.2">
      <c r="A318" s="3"/>
      <c r="B318" s="3"/>
      <c r="C318" s="3"/>
      <c r="D318" s="3"/>
      <c r="E318" s="3"/>
      <c r="F318" s="3"/>
      <c r="G318" s="3"/>
      <c r="H318" s="3"/>
      <c r="I318" s="3"/>
      <c r="J318" s="3"/>
      <c r="K318" s="3"/>
      <c r="L318" s="3"/>
      <c r="M318" s="3"/>
    </row>
    <row r="319" spans="1:13" ht="13.5" customHeight="1" x14ac:dyDescent="0.2">
      <c r="A319" s="3"/>
      <c r="B319" s="3"/>
      <c r="C319" s="3"/>
      <c r="D319" s="3"/>
      <c r="E319" s="3"/>
      <c r="F319" s="3"/>
      <c r="G319" s="3"/>
      <c r="H319" s="3"/>
      <c r="I319" s="3"/>
      <c r="J319" s="3"/>
      <c r="K319" s="3"/>
      <c r="L319" s="3"/>
      <c r="M319" s="3"/>
    </row>
    <row r="320" spans="1:13" ht="17.25" customHeight="1" x14ac:dyDescent="0.2">
      <c r="A320" s="118" t="s">
        <v>305</v>
      </c>
      <c r="B320" s="3"/>
      <c r="C320" s="3"/>
      <c r="D320" s="3"/>
      <c r="E320" s="3"/>
      <c r="F320" s="3"/>
      <c r="G320" s="3"/>
      <c r="H320" s="3"/>
      <c r="I320" s="3"/>
      <c r="J320" s="3"/>
      <c r="K320" s="3"/>
      <c r="L320" s="3"/>
      <c r="M320" s="3"/>
    </row>
    <row r="321" spans="1:13" ht="17.25" customHeight="1" x14ac:dyDescent="0.2">
      <c r="A321" s="3" t="s">
        <v>307</v>
      </c>
      <c r="B321" s="3"/>
      <c r="C321" s="3"/>
      <c r="D321" s="3"/>
      <c r="E321" s="3"/>
      <c r="F321" s="3"/>
      <c r="G321" s="3"/>
      <c r="H321" s="3"/>
      <c r="I321" s="3"/>
      <c r="J321" s="3"/>
      <c r="K321" s="3"/>
      <c r="L321" s="3"/>
      <c r="M321" s="3"/>
    </row>
    <row r="322" spans="1:13" ht="17.25" customHeight="1" x14ac:dyDescent="0.2">
      <c r="A322" s="3" t="s">
        <v>308</v>
      </c>
      <c r="B322" s="3"/>
      <c r="C322" s="3"/>
      <c r="D322" s="3"/>
      <c r="E322" s="3"/>
      <c r="F322" s="3"/>
      <c r="G322" s="3"/>
      <c r="H322" s="3"/>
      <c r="I322" s="3"/>
      <c r="J322" s="3"/>
      <c r="K322" s="3"/>
      <c r="L322" s="3"/>
      <c r="M322" s="3"/>
    </row>
    <row r="323" spans="1:13" ht="17.25" customHeight="1" x14ac:dyDescent="0.2">
      <c r="A323" s="3" t="s">
        <v>309</v>
      </c>
      <c r="B323" s="3"/>
      <c r="C323" s="3"/>
      <c r="D323" s="3"/>
      <c r="E323" s="3"/>
      <c r="F323" s="3"/>
      <c r="G323" s="3"/>
      <c r="H323" s="3"/>
      <c r="I323" s="3"/>
      <c r="J323" s="3"/>
      <c r="K323" s="3"/>
      <c r="L323" s="3"/>
      <c r="M323" s="3"/>
    </row>
    <row r="324" spans="1:13" ht="17.25" customHeight="1" x14ac:dyDescent="0.2">
      <c r="A324" s="3"/>
      <c r="B324" s="3"/>
      <c r="C324" s="3"/>
      <c r="D324" s="3"/>
      <c r="E324" s="3"/>
      <c r="F324" s="3"/>
      <c r="G324" s="3"/>
      <c r="H324" s="3"/>
      <c r="I324" s="3"/>
      <c r="J324" s="3"/>
      <c r="K324" s="3"/>
      <c r="L324" s="3"/>
      <c r="M324" s="3"/>
    </row>
    <row r="325" spans="1:13" ht="17.25" customHeight="1" x14ac:dyDescent="0.2">
      <c r="A325" s="3"/>
      <c r="B325" s="3"/>
      <c r="C325" s="3"/>
      <c r="D325" s="3"/>
      <c r="E325" s="3"/>
      <c r="F325" s="3"/>
      <c r="G325" s="3"/>
      <c r="H325" s="3"/>
      <c r="I325" s="3"/>
      <c r="J325" s="3"/>
      <c r="K325" s="3"/>
      <c r="L325" s="3"/>
      <c r="M325" s="3"/>
    </row>
    <row r="326" spans="1:13" ht="17.25" customHeight="1" x14ac:dyDescent="0.2">
      <c r="A326" s="3"/>
      <c r="B326" s="3"/>
      <c r="C326" s="3"/>
      <c r="D326" s="3"/>
      <c r="E326" s="3"/>
      <c r="F326" s="3"/>
      <c r="G326" s="3"/>
      <c r="H326" s="3"/>
      <c r="I326" s="3"/>
      <c r="J326" s="3"/>
      <c r="K326" s="3"/>
      <c r="L326" s="3"/>
      <c r="M326" s="3"/>
    </row>
    <row r="327" spans="1:13" ht="17.25" customHeight="1" x14ac:dyDescent="0.2">
      <c r="A327" s="3"/>
      <c r="B327" s="3"/>
      <c r="C327" s="3"/>
      <c r="D327" s="3"/>
      <c r="E327" s="3"/>
      <c r="F327" s="3"/>
      <c r="G327" s="3"/>
      <c r="H327" s="3"/>
      <c r="I327" s="3"/>
      <c r="J327" s="3"/>
      <c r="K327" s="3"/>
      <c r="L327" s="3"/>
      <c r="M327" s="3"/>
    </row>
    <row r="328" spans="1:13" ht="17.25" customHeight="1" x14ac:dyDescent="0.2">
      <c r="A328" s="3"/>
      <c r="B328" s="3"/>
      <c r="C328" s="3"/>
      <c r="D328" s="3"/>
      <c r="E328" s="3"/>
      <c r="F328" s="3"/>
      <c r="G328" s="3"/>
      <c r="H328" s="3"/>
      <c r="I328" s="3"/>
      <c r="J328" s="3"/>
      <c r="K328" s="3"/>
      <c r="L328" s="3"/>
      <c r="M328" s="3"/>
    </row>
    <row r="329" spans="1:13" ht="17.25" customHeight="1" x14ac:dyDescent="0.2">
      <c r="A329" s="3"/>
      <c r="B329" s="3"/>
      <c r="C329" s="3"/>
      <c r="D329" s="3"/>
      <c r="E329" s="3"/>
      <c r="F329" s="3"/>
      <c r="G329" s="3"/>
      <c r="H329" s="3"/>
      <c r="I329" s="3"/>
      <c r="J329" s="3"/>
      <c r="K329" s="3"/>
      <c r="L329" s="3"/>
      <c r="M329" s="3"/>
    </row>
    <row r="330" spans="1:13" ht="17.25" customHeight="1" x14ac:dyDescent="0.2">
      <c r="A330" s="3"/>
      <c r="B330" s="3"/>
      <c r="C330" s="3"/>
      <c r="D330" s="3"/>
      <c r="E330" s="3"/>
      <c r="F330" s="3"/>
      <c r="G330" s="3"/>
      <c r="H330" s="3"/>
      <c r="I330" s="3"/>
      <c r="J330" s="3"/>
      <c r="K330" s="3"/>
      <c r="L330" s="3"/>
      <c r="M330" s="3"/>
    </row>
    <row r="331" spans="1:13" ht="17.25" customHeight="1" x14ac:dyDescent="0.2">
      <c r="A331" s="3"/>
      <c r="B331" s="3"/>
      <c r="C331" s="3"/>
      <c r="D331" s="3"/>
      <c r="E331" s="3"/>
      <c r="F331" s="3"/>
      <c r="G331" s="3"/>
      <c r="H331" s="3"/>
      <c r="I331" s="3"/>
      <c r="J331" s="3"/>
      <c r="K331" s="3"/>
      <c r="L331" s="3"/>
      <c r="M331" s="3"/>
    </row>
    <row r="332" spans="1:13" ht="17.25" customHeight="1" x14ac:dyDescent="0.2">
      <c r="A332" s="3"/>
      <c r="B332" s="3"/>
      <c r="C332" s="3"/>
      <c r="D332" s="3"/>
      <c r="E332" s="3"/>
      <c r="F332" s="3"/>
      <c r="G332" s="3"/>
      <c r="H332" s="3"/>
      <c r="I332" s="3"/>
      <c r="J332" s="133" t="s">
        <v>324</v>
      </c>
      <c r="K332" s="3"/>
      <c r="L332" s="3"/>
      <c r="M332" s="3"/>
    </row>
    <row r="333" spans="1:13" ht="17.25" customHeight="1" x14ac:dyDescent="0.2">
      <c r="A333" s="3"/>
      <c r="B333" s="3"/>
      <c r="C333" s="3"/>
      <c r="D333" s="3"/>
      <c r="E333" s="3"/>
      <c r="F333" s="3"/>
      <c r="G333" s="3"/>
      <c r="H333" s="3"/>
      <c r="I333" s="3"/>
      <c r="J333" s="133" t="s">
        <v>310</v>
      </c>
      <c r="K333" s="3"/>
      <c r="L333" s="3"/>
      <c r="M333" s="3"/>
    </row>
    <row r="334" spans="1:13" ht="17.25" customHeight="1" x14ac:dyDescent="0.2">
      <c r="A334" s="3"/>
      <c r="B334" s="3"/>
      <c r="C334" s="3"/>
      <c r="D334" s="3"/>
      <c r="E334" s="3"/>
      <c r="F334" s="3"/>
      <c r="G334" s="3"/>
      <c r="H334" s="3"/>
      <c r="I334" s="3"/>
      <c r="K334" s="3"/>
      <c r="L334" s="3"/>
      <c r="M334" s="3"/>
    </row>
    <row r="335" spans="1:13" ht="17.25" customHeight="1" x14ac:dyDescent="0.2">
      <c r="A335" s="3"/>
      <c r="B335" s="3"/>
      <c r="C335" s="3"/>
      <c r="D335" s="3"/>
      <c r="E335" s="3"/>
      <c r="F335" s="3"/>
      <c r="G335" s="3"/>
      <c r="H335" s="3"/>
      <c r="I335" s="3"/>
      <c r="K335" s="3"/>
      <c r="L335" s="3"/>
      <c r="M335" s="3"/>
    </row>
    <row r="336" spans="1:13" ht="17.25" customHeight="1" x14ac:dyDescent="0.2">
      <c r="A336" s="3"/>
      <c r="B336" s="3"/>
      <c r="C336" s="3"/>
      <c r="D336" s="3"/>
      <c r="E336" s="3"/>
      <c r="F336" s="3"/>
      <c r="G336" s="3"/>
      <c r="H336" s="3"/>
      <c r="I336" s="3"/>
      <c r="J336" s="3"/>
      <c r="K336" s="3"/>
      <c r="L336" s="3"/>
      <c r="M336" s="3"/>
    </row>
    <row r="337" spans="1:14" ht="17.25" customHeight="1" x14ac:dyDescent="0.2">
      <c r="A337" s="3"/>
      <c r="B337" s="3"/>
      <c r="C337" s="3"/>
      <c r="D337" s="3"/>
      <c r="E337" s="3"/>
      <c r="F337" s="3"/>
      <c r="G337" s="3"/>
      <c r="H337" s="3"/>
      <c r="I337" s="3"/>
      <c r="J337" s="3"/>
      <c r="K337" s="3"/>
      <c r="L337" s="3"/>
      <c r="M337" s="3"/>
    </row>
    <row r="338" spans="1:14" ht="17.25" customHeight="1" x14ac:dyDescent="0.2">
      <c r="A338" s="3"/>
      <c r="B338" s="3"/>
      <c r="C338" s="3"/>
      <c r="D338" s="3"/>
      <c r="E338" s="3"/>
      <c r="F338" s="3"/>
      <c r="G338" s="3"/>
      <c r="H338" s="3"/>
      <c r="I338" s="3"/>
      <c r="J338" s="3"/>
      <c r="K338" s="3"/>
      <c r="L338" s="3"/>
      <c r="M338" s="3"/>
    </row>
    <row r="339" spans="1:14" ht="17.25" customHeight="1" x14ac:dyDescent="0.2">
      <c r="A339" s="3"/>
      <c r="B339" s="3"/>
      <c r="C339" s="3"/>
      <c r="D339" s="3"/>
      <c r="E339" s="3"/>
      <c r="F339" s="3"/>
      <c r="G339" s="3"/>
      <c r="H339" s="3"/>
      <c r="I339" s="3"/>
      <c r="J339" s="132"/>
      <c r="K339" s="3"/>
      <c r="L339" s="3"/>
      <c r="M339" s="3"/>
    </row>
    <row r="340" spans="1:14" ht="17.25" customHeight="1" x14ac:dyDescent="0.2">
      <c r="A340" s="3"/>
      <c r="B340" s="3"/>
      <c r="C340" s="3"/>
      <c r="D340" s="3"/>
      <c r="E340" s="3"/>
      <c r="F340" s="3"/>
      <c r="G340" s="3"/>
      <c r="H340" s="3"/>
      <c r="I340" s="3"/>
      <c r="J340" s="132"/>
      <c r="K340" s="3"/>
      <c r="L340" s="3"/>
      <c r="M340" s="3"/>
    </row>
    <row r="341" spans="1:14" ht="17.25" customHeight="1" x14ac:dyDescent="0.2">
      <c r="A341" s="3"/>
      <c r="B341" s="3"/>
      <c r="C341" s="3"/>
      <c r="D341" s="3"/>
      <c r="E341" s="3"/>
      <c r="F341" s="3"/>
      <c r="G341" s="3"/>
      <c r="H341" s="3"/>
      <c r="I341" s="3"/>
      <c r="J341" s="3"/>
      <c r="K341" s="3"/>
      <c r="L341" s="3"/>
      <c r="M341" s="3"/>
    </row>
    <row r="342" spans="1:14" ht="17.25" customHeight="1" x14ac:dyDescent="0.2">
      <c r="A342" s="3"/>
      <c r="B342" s="3"/>
      <c r="C342" s="3"/>
      <c r="D342" s="3"/>
      <c r="E342" s="3"/>
      <c r="F342" s="3"/>
      <c r="G342" s="3"/>
      <c r="H342" s="3"/>
      <c r="I342" s="3"/>
      <c r="J342" s="3"/>
      <c r="K342" s="3"/>
      <c r="L342" s="3"/>
      <c r="M342" s="3"/>
    </row>
    <row r="343" spans="1:14" ht="17.25" customHeight="1" x14ac:dyDescent="0.2">
      <c r="A343" s="3"/>
      <c r="B343" s="3"/>
      <c r="C343" s="3"/>
      <c r="D343" s="3"/>
      <c r="E343" s="3"/>
      <c r="F343" s="3"/>
      <c r="G343" s="3"/>
      <c r="H343" s="3"/>
      <c r="I343" s="10"/>
      <c r="J343" s="10"/>
      <c r="K343" s="10"/>
      <c r="L343" s="10"/>
      <c r="M343" s="10"/>
    </row>
    <row r="344" spans="1:14" ht="17.25" customHeight="1" x14ac:dyDescent="0.2">
      <c r="A344" s="3"/>
      <c r="B344" s="3"/>
      <c r="C344" s="3"/>
      <c r="D344" s="3"/>
      <c r="E344" s="3"/>
      <c r="F344" s="3"/>
      <c r="G344" s="3"/>
      <c r="H344" s="3"/>
      <c r="I344" s="10"/>
      <c r="J344" s="10"/>
      <c r="K344" s="10"/>
      <c r="L344" s="10"/>
      <c r="M344" s="10"/>
    </row>
    <row r="345" spans="1:14" ht="17.25" customHeight="1" x14ac:dyDescent="0.2">
      <c r="A345" s="3"/>
      <c r="B345" s="3"/>
      <c r="C345" s="3"/>
      <c r="D345" s="3"/>
      <c r="E345" s="3"/>
      <c r="F345" s="3"/>
      <c r="G345" s="3"/>
      <c r="H345" s="3"/>
      <c r="I345" s="10"/>
      <c r="J345" s="10"/>
      <c r="K345" s="10"/>
      <c r="L345" s="10"/>
      <c r="M345" s="10"/>
    </row>
    <row r="346" spans="1:14" ht="17.25" customHeight="1" x14ac:dyDescent="0.2">
      <c r="A346" s="3" t="s">
        <v>402</v>
      </c>
      <c r="B346" s="3"/>
      <c r="D346" s="39" t="s">
        <v>403</v>
      </c>
      <c r="E346" s="302">
        <f>B72*E245*(P245/P249)*C349</f>
        <v>0.18107181294294572</v>
      </c>
      <c r="F346" s="302"/>
      <c r="G346" s="9" t="s">
        <v>354</v>
      </c>
      <c r="M346" s="3"/>
    </row>
    <row r="347" spans="1:14" ht="17.25" customHeight="1" x14ac:dyDescent="0.2">
      <c r="C347" s="3"/>
      <c r="D347" s="3"/>
      <c r="E347" s="3"/>
      <c r="M347" s="3"/>
      <c r="N347" s="10">
        <f>(0.25*TAN((90-H349)*PI()/180))/0.5</f>
        <v>0</v>
      </c>
    </row>
    <row r="348" spans="1:14" ht="17.25" customHeight="1" x14ac:dyDescent="0.2">
      <c r="A348" s="3"/>
      <c r="B348" s="3"/>
      <c r="C348" s="3"/>
      <c r="D348" s="3"/>
      <c r="E348" s="3"/>
      <c r="M348" s="3"/>
    </row>
    <row r="349" spans="1:14" ht="17.25" customHeight="1" x14ac:dyDescent="0.2">
      <c r="A349" s="3"/>
      <c r="B349" s="39" t="s">
        <v>320</v>
      </c>
      <c r="C349" s="135">
        <f>B73</f>
        <v>1.9</v>
      </c>
      <c r="D349" s="3"/>
      <c r="E349" s="3"/>
      <c r="F349" s="27" t="s">
        <v>405</v>
      </c>
      <c r="G349" s="39" t="s">
        <v>339</v>
      </c>
      <c r="H349" s="154">
        <f>B68</f>
        <v>90</v>
      </c>
      <c r="I349" s="155" t="str">
        <f>IF(H349&lt;90, " &lt; 90° agregar el efecto del peso W'", " no procede el calculo del peso W'")</f>
        <v xml:space="preserve"> no procede el calculo del peso W'</v>
      </c>
      <c r="J349" s="156"/>
      <c r="K349" s="156"/>
      <c r="L349" s="157"/>
      <c r="M349" s="157"/>
    </row>
    <row r="350" spans="1:14" ht="17.25" customHeight="1" x14ac:dyDescent="0.2">
      <c r="A350" s="3"/>
      <c r="D350" s="3"/>
      <c r="E350" s="3"/>
      <c r="F350" s="27" t="s">
        <v>404</v>
      </c>
      <c r="H350" s="39" t="s">
        <v>340</v>
      </c>
      <c r="I350" s="136">
        <f>TAN((90-H349)*PI()/180)*(I68*B73*0.5+B72)</f>
        <v>0</v>
      </c>
      <c r="J350" s="3" t="s">
        <v>341</v>
      </c>
      <c r="L350" s="3"/>
      <c r="M350" s="3"/>
      <c r="N350" s="10">
        <f>I351/0.5</f>
        <v>0</v>
      </c>
    </row>
    <row r="351" spans="1:14" ht="17.25" customHeight="1" x14ac:dyDescent="0.2">
      <c r="A351" s="3"/>
      <c r="B351" s="3"/>
      <c r="C351" s="3"/>
      <c r="D351" s="3"/>
      <c r="E351" s="3"/>
      <c r="F351" s="27" t="s">
        <v>406</v>
      </c>
      <c r="G351" s="3"/>
      <c r="H351" s="28" t="s">
        <v>342</v>
      </c>
      <c r="I351" s="141">
        <f>TAN((90-H349)*PI()/180)*(I68*B73*0.5*B73+B72*B73)</f>
        <v>0</v>
      </c>
      <c r="J351" s="9" t="s">
        <v>343</v>
      </c>
      <c r="M351" s="3"/>
    </row>
    <row r="352" spans="1:14" ht="17.25" customHeight="1" x14ac:dyDescent="0.2">
      <c r="A352" s="3"/>
      <c r="B352" s="3"/>
      <c r="C352" s="3"/>
      <c r="D352" s="3"/>
      <c r="E352" s="3"/>
      <c r="M352" s="3"/>
    </row>
    <row r="353" spans="1:15" ht="17.25" customHeight="1" x14ac:dyDescent="0.2">
      <c r="A353" s="3"/>
      <c r="B353" s="3"/>
      <c r="C353" s="3"/>
      <c r="D353" s="3"/>
      <c r="E353" s="3"/>
      <c r="F353" s="3"/>
      <c r="G353" s="3"/>
      <c r="H353" s="3"/>
      <c r="I353" s="3"/>
      <c r="J353" s="3"/>
      <c r="K353" s="3"/>
      <c r="L353" s="3"/>
      <c r="M353" s="3"/>
    </row>
    <row r="354" spans="1:15" ht="17.25" customHeight="1" x14ac:dyDescent="0.2">
      <c r="A354" s="3"/>
      <c r="B354" s="3"/>
      <c r="C354" s="3"/>
      <c r="D354" s="136">
        <f>B72*E245*(P245/P249)</f>
        <v>9.5300954180497749E-2</v>
      </c>
      <c r="E354" s="3"/>
      <c r="F354" s="3"/>
      <c r="G354" s="3"/>
      <c r="H354" s="3"/>
      <c r="I354" s="3"/>
      <c r="J354" s="3"/>
      <c r="K354" s="3"/>
      <c r="L354" s="3"/>
      <c r="M354" s="3"/>
    </row>
    <row r="355" spans="1:15" ht="17.25" customHeight="1" x14ac:dyDescent="0.2">
      <c r="A355" s="261" t="s">
        <v>325</v>
      </c>
      <c r="B355" s="261"/>
      <c r="C355" s="261"/>
      <c r="D355" s="261"/>
      <c r="E355" s="261"/>
      <c r="F355" s="261"/>
      <c r="G355" s="261"/>
      <c r="H355" s="261"/>
      <c r="I355" s="261"/>
      <c r="J355" s="261"/>
      <c r="K355" s="261"/>
      <c r="L355" s="261"/>
      <c r="M355" s="261"/>
    </row>
    <row r="356" spans="1:15" s="9" customFormat="1" ht="17.25" customHeight="1" x14ac:dyDescent="0.2">
      <c r="A356" s="27"/>
      <c r="I356" s="5"/>
      <c r="J356" s="5"/>
      <c r="M356" s="5"/>
      <c r="O356" s="179"/>
    </row>
    <row r="357" spans="1:15" s="9" customFormat="1" ht="17.25" customHeight="1" x14ac:dyDescent="0.2">
      <c r="A357" s="28"/>
      <c r="B357" s="29"/>
      <c r="H357" s="28"/>
      <c r="I357" s="30"/>
      <c r="O357" s="179"/>
    </row>
    <row r="358" spans="1:15" s="9" customFormat="1" ht="17.25" customHeight="1" x14ac:dyDescent="0.2">
      <c r="A358" s="28"/>
      <c r="B358" s="31"/>
      <c r="H358" s="28"/>
      <c r="I358" s="32"/>
      <c r="O358" s="179"/>
    </row>
    <row r="359" spans="1:15" s="9" customFormat="1" ht="17.25" customHeight="1" x14ac:dyDescent="0.2">
      <c r="A359" s="28"/>
      <c r="B359" s="33"/>
      <c r="H359" s="28"/>
      <c r="I359" s="32"/>
      <c r="O359" s="179"/>
    </row>
    <row r="360" spans="1:15" s="9" customFormat="1" ht="17.25" customHeight="1" x14ac:dyDescent="0.2">
      <c r="O360" s="179"/>
    </row>
    <row r="361" spans="1:15" s="9" customFormat="1" ht="17.25" customHeight="1" x14ac:dyDescent="0.2">
      <c r="A361" s="27"/>
      <c r="O361" s="179"/>
    </row>
    <row r="362" spans="1:15" s="9" customFormat="1" ht="17.25" customHeight="1" x14ac:dyDescent="0.2">
      <c r="A362" s="28"/>
      <c r="B362" s="131"/>
      <c r="D362" s="34"/>
      <c r="E362" s="34"/>
      <c r="F362" s="34"/>
      <c r="G362" s="34"/>
      <c r="O362" s="179"/>
    </row>
    <row r="363" spans="1:15" s="9" customFormat="1" ht="17.25" customHeight="1" x14ac:dyDescent="0.2">
      <c r="A363" s="28"/>
      <c r="B363" s="131"/>
      <c r="D363" s="34"/>
      <c r="E363" s="34"/>
      <c r="F363" s="34"/>
      <c r="G363" s="34"/>
      <c r="I363" s="8"/>
      <c r="O363" s="179"/>
    </row>
    <row r="364" spans="1:15" s="9" customFormat="1" ht="17.25" customHeight="1" x14ac:dyDescent="0.2">
      <c r="I364" s="8"/>
      <c r="O364" s="179"/>
    </row>
    <row r="365" spans="1:15" s="3" customFormat="1" ht="17.25" customHeight="1" x14ac:dyDescent="0.2">
      <c r="O365" s="232"/>
    </row>
    <row r="366" spans="1:15" ht="17.25" customHeight="1" x14ac:dyDescent="0.2">
      <c r="A366" s="3"/>
      <c r="B366" s="3"/>
      <c r="C366" s="3"/>
      <c r="D366" s="3"/>
      <c r="E366" s="3"/>
      <c r="F366" s="3"/>
      <c r="G366" s="3"/>
      <c r="H366" s="3"/>
      <c r="I366" s="3"/>
      <c r="J366" s="3"/>
      <c r="K366" s="3"/>
      <c r="L366" s="3"/>
      <c r="M366" s="3"/>
    </row>
    <row r="375" spans="1:13" ht="17.25" customHeight="1" x14ac:dyDescent="0.2">
      <c r="C375" s="8"/>
      <c r="I375" s="10"/>
      <c r="J375" s="10"/>
      <c r="K375" s="10"/>
      <c r="L375" s="10"/>
      <c r="M375" s="10"/>
    </row>
    <row r="376" spans="1:13" ht="17.25" customHeight="1" x14ac:dyDescent="0.2">
      <c r="A376" s="117" t="s">
        <v>456</v>
      </c>
      <c r="C376" s="8"/>
      <c r="I376" s="10"/>
      <c r="J376" s="10"/>
      <c r="K376" s="10"/>
      <c r="L376" s="10"/>
      <c r="M376" s="10"/>
    </row>
    <row r="377" spans="1:13" ht="17.25" customHeight="1" x14ac:dyDescent="0.2">
      <c r="A377" s="9" t="s">
        <v>421</v>
      </c>
      <c r="C377" s="8"/>
      <c r="I377" s="10"/>
      <c r="J377" s="10"/>
      <c r="K377" s="10"/>
      <c r="L377" s="10"/>
      <c r="M377" s="10"/>
    </row>
    <row r="378" spans="1:13" ht="17.25" customHeight="1" x14ac:dyDescent="0.2">
      <c r="A378" s="9" t="s">
        <v>422</v>
      </c>
      <c r="C378" s="8"/>
      <c r="I378" s="10"/>
      <c r="J378" s="10"/>
      <c r="K378" s="10"/>
      <c r="L378" s="10"/>
      <c r="M378" s="10"/>
    </row>
    <row r="379" spans="1:13" ht="17.25" customHeight="1" x14ac:dyDescent="0.2">
      <c r="A379" s="9" t="s">
        <v>423</v>
      </c>
      <c r="C379" s="8"/>
      <c r="I379" s="10"/>
      <c r="J379" s="10"/>
      <c r="K379" s="10"/>
      <c r="L379" s="10"/>
      <c r="M379" s="10"/>
    </row>
    <row r="380" spans="1:13" ht="17.25" customHeight="1" x14ac:dyDescent="0.2">
      <c r="C380" s="8"/>
      <c r="I380" s="10"/>
      <c r="J380" s="10"/>
      <c r="K380" s="10"/>
      <c r="L380" s="10"/>
      <c r="M380" s="10"/>
    </row>
    <row r="381" spans="1:13" ht="17.25" customHeight="1" x14ac:dyDescent="0.2">
      <c r="A381" s="169" t="s">
        <v>457</v>
      </c>
      <c r="C381" s="8"/>
      <c r="I381" s="10"/>
      <c r="J381" s="10"/>
      <c r="K381" s="10"/>
      <c r="L381" s="10"/>
      <c r="M381" s="10"/>
    </row>
    <row r="382" spans="1:13" ht="17.25" customHeight="1" x14ac:dyDescent="0.2">
      <c r="A382" s="9" t="s">
        <v>359</v>
      </c>
      <c r="C382" s="8"/>
      <c r="I382" s="10"/>
      <c r="J382" s="10"/>
      <c r="K382" s="10"/>
      <c r="L382" s="10"/>
      <c r="M382" s="10"/>
    </row>
    <row r="383" spans="1:13" ht="17.25" customHeight="1" x14ac:dyDescent="0.2">
      <c r="A383" s="9" t="s">
        <v>360</v>
      </c>
      <c r="C383" s="8"/>
      <c r="I383" s="10"/>
      <c r="J383" s="10"/>
      <c r="K383" s="10"/>
      <c r="L383" s="10"/>
      <c r="M383" s="10"/>
    </row>
    <row r="384" spans="1:13" ht="17.25" customHeight="1" x14ac:dyDescent="0.2">
      <c r="A384" s="9" t="s">
        <v>361</v>
      </c>
      <c r="C384" s="8"/>
      <c r="I384" s="10"/>
      <c r="J384" s="10"/>
      <c r="K384" s="10"/>
      <c r="L384" s="10"/>
      <c r="M384" s="10"/>
    </row>
    <row r="385" spans="1:14" ht="17.25" customHeight="1" x14ac:dyDescent="0.2">
      <c r="C385" s="8"/>
      <c r="I385" s="10"/>
      <c r="J385" s="10"/>
      <c r="K385" s="10"/>
      <c r="L385" s="10"/>
      <c r="M385" s="10"/>
    </row>
    <row r="386" spans="1:14" ht="17.25" customHeight="1" x14ac:dyDescent="0.2">
      <c r="A386" s="9" t="s">
        <v>362</v>
      </c>
      <c r="C386" s="8"/>
      <c r="I386" s="10"/>
      <c r="J386" s="10"/>
      <c r="K386" s="10"/>
      <c r="L386" s="10"/>
      <c r="M386" s="10"/>
    </row>
    <row r="387" spans="1:14" ht="17.25" customHeight="1" x14ac:dyDescent="0.2">
      <c r="A387" s="9" t="s">
        <v>363</v>
      </c>
      <c r="C387" s="8"/>
      <c r="F387" s="9" t="s">
        <v>364</v>
      </c>
      <c r="I387" s="10"/>
      <c r="J387" s="10"/>
      <c r="K387" s="10"/>
      <c r="L387" s="10"/>
      <c r="M387" s="10"/>
    </row>
    <row r="388" spans="1:14" ht="17.25" customHeight="1" x14ac:dyDescent="0.2">
      <c r="A388" s="69" t="s">
        <v>365</v>
      </c>
      <c r="C388" s="8"/>
      <c r="I388" s="10"/>
      <c r="J388" s="10"/>
      <c r="K388" s="10"/>
      <c r="L388" s="10"/>
      <c r="M388" s="10"/>
    </row>
    <row r="389" spans="1:14" ht="17.25" customHeight="1" x14ac:dyDescent="0.2">
      <c r="C389" s="8"/>
      <c r="I389" s="10"/>
      <c r="J389" s="10"/>
      <c r="K389" s="10"/>
      <c r="L389" s="10"/>
      <c r="M389" s="10"/>
    </row>
    <row r="390" spans="1:14" ht="17.25" customHeight="1" x14ac:dyDescent="0.2">
      <c r="C390" s="8"/>
    </row>
    <row r="391" spans="1:14" ht="17.25" customHeight="1" x14ac:dyDescent="0.2">
      <c r="C391" s="8"/>
    </row>
    <row r="392" spans="1:14" ht="17.25" customHeight="1" x14ac:dyDescent="0.2">
      <c r="C392" s="8"/>
    </row>
    <row r="393" spans="1:14" ht="17.25" customHeight="1" x14ac:dyDescent="0.2">
      <c r="A393" s="46"/>
      <c r="C393" s="8"/>
    </row>
    <row r="394" spans="1:14" ht="17.25" customHeight="1" x14ac:dyDescent="0.2">
      <c r="A394" s="48"/>
      <c r="B394" s="5"/>
      <c r="C394" s="5"/>
      <c r="D394" s="5"/>
      <c r="E394" s="5"/>
      <c r="F394" s="5"/>
      <c r="G394" s="5"/>
      <c r="H394" s="5"/>
      <c r="I394" s="5"/>
      <c r="J394" s="5"/>
      <c r="K394" s="5"/>
      <c r="L394" s="5"/>
      <c r="M394" s="5"/>
      <c r="N394" s="49"/>
    </row>
    <row r="395" spans="1:14" ht="17.25" customHeight="1" x14ac:dyDescent="0.2">
      <c r="A395" s="48"/>
      <c r="B395" s="5"/>
      <c r="C395" s="5"/>
      <c r="D395" s="5"/>
      <c r="E395" s="5"/>
      <c r="F395" s="5"/>
      <c r="G395" s="5"/>
      <c r="H395" s="5"/>
      <c r="I395" s="5"/>
      <c r="J395" s="5"/>
      <c r="K395" s="5"/>
      <c r="L395" s="5"/>
      <c r="M395" s="5"/>
      <c r="N395" s="49"/>
    </row>
    <row r="396" spans="1:14" ht="17.25" customHeight="1" x14ac:dyDescent="0.2">
      <c r="A396" s="10"/>
      <c r="B396" s="5"/>
      <c r="C396" s="5"/>
      <c r="D396" s="5"/>
      <c r="E396" s="5"/>
      <c r="F396" s="5"/>
      <c r="G396" s="5"/>
      <c r="H396" s="5"/>
      <c r="I396" s="5"/>
      <c r="J396" s="5"/>
      <c r="K396" s="5"/>
      <c r="L396" s="5"/>
      <c r="M396" s="5"/>
      <c r="N396" s="49"/>
    </row>
    <row r="397" spans="1:14" ht="17.25" customHeight="1" x14ac:dyDescent="0.2">
      <c r="A397" s="50" t="s">
        <v>379</v>
      </c>
      <c r="B397" s="5"/>
      <c r="C397" s="5"/>
      <c r="D397" s="5"/>
      <c r="E397" s="5"/>
      <c r="F397" s="5"/>
      <c r="G397" s="5"/>
      <c r="H397" s="5"/>
      <c r="I397" s="5"/>
      <c r="J397" s="5"/>
      <c r="K397" s="5"/>
      <c r="L397" s="5"/>
      <c r="M397" s="5"/>
      <c r="N397" s="49"/>
    </row>
    <row r="398" spans="1:14" ht="17.25" customHeight="1" x14ac:dyDescent="0.2">
      <c r="A398" s="50" t="s">
        <v>380</v>
      </c>
      <c r="B398" s="5"/>
      <c r="C398" s="5"/>
      <c r="D398" s="5"/>
      <c r="E398" s="5"/>
      <c r="F398" s="5"/>
      <c r="G398" s="5"/>
      <c r="H398" s="5"/>
      <c r="I398" s="5"/>
      <c r="J398" s="5"/>
      <c r="K398" s="10"/>
      <c r="L398" s="5"/>
      <c r="M398" s="5"/>
      <c r="N398" s="49"/>
    </row>
    <row r="399" spans="1:14" ht="17.25" customHeight="1" x14ac:dyDescent="0.2">
      <c r="A399" s="50" t="s">
        <v>410</v>
      </c>
      <c r="B399" s="5"/>
      <c r="C399" s="5"/>
      <c r="D399" s="5"/>
      <c r="E399" s="5"/>
      <c r="F399" s="5"/>
      <c r="G399" s="5"/>
      <c r="H399" s="5"/>
      <c r="I399" s="5"/>
      <c r="J399" s="5"/>
      <c r="K399" s="10"/>
      <c r="L399" s="5"/>
      <c r="M399" s="5"/>
      <c r="N399" s="49"/>
    </row>
    <row r="400" spans="1:14" ht="17.25" customHeight="1" x14ac:dyDescent="0.2">
      <c r="B400" s="5"/>
      <c r="C400" s="5"/>
      <c r="D400" s="5"/>
      <c r="E400" s="5"/>
      <c r="F400" s="5"/>
      <c r="G400" s="5"/>
      <c r="H400" s="5"/>
      <c r="I400" s="5"/>
      <c r="J400" s="5"/>
      <c r="K400" s="10"/>
      <c r="L400" s="5"/>
      <c r="M400" s="5"/>
      <c r="N400" s="49"/>
    </row>
    <row r="401" spans="1:14" ht="17.25" customHeight="1" x14ac:dyDescent="0.2">
      <c r="B401" s="5"/>
      <c r="C401" s="5"/>
      <c r="D401" s="5"/>
      <c r="E401" s="5"/>
      <c r="F401" s="5"/>
      <c r="G401" s="5"/>
      <c r="H401" s="5"/>
      <c r="I401" s="5"/>
      <c r="J401" s="5"/>
      <c r="K401" s="10"/>
      <c r="L401" s="5"/>
      <c r="M401" s="5"/>
      <c r="N401" s="49"/>
    </row>
    <row r="402" spans="1:14" ht="17.25" customHeight="1" x14ac:dyDescent="0.2">
      <c r="B402" s="5"/>
      <c r="C402" s="5"/>
      <c r="D402" s="5"/>
      <c r="E402" s="5"/>
      <c r="F402" s="5"/>
      <c r="G402" s="5"/>
      <c r="H402" s="5"/>
      <c r="I402" s="5"/>
      <c r="J402" s="5"/>
      <c r="K402" s="10"/>
      <c r="L402" s="5"/>
      <c r="M402" s="5"/>
      <c r="N402" s="49"/>
    </row>
    <row r="403" spans="1:14" ht="17.25" customHeight="1" x14ac:dyDescent="0.2">
      <c r="B403" s="5"/>
      <c r="C403" s="5"/>
      <c r="D403" s="5"/>
      <c r="E403" s="5"/>
      <c r="F403" s="5"/>
      <c r="G403" s="5"/>
      <c r="H403" s="5"/>
      <c r="I403" s="5"/>
      <c r="J403" s="5"/>
      <c r="K403" s="10"/>
      <c r="L403" s="5"/>
      <c r="M403" s="5"/>
      <c r="N403" s="49"/>
    </row>
    <row r="404" spans="1:14" ht="17.25" customHeight="1" x14ac:dyDescent="0.2">
      <c r="B404" s="5"/>
      <c r="C404" s="5"/>
      <c r="D404" s="5"/>
      <c r="E404" s="5"/>
      <c r="F404" s="5"/>
      <c r="G404" s="5"/>
      <c r="H404" s="5"/>
      <c r="I404" s="5"/>
      <c r="J404" s="5"/>
      <c r="K404" s="10"/>
      <c r="L404" s="5"/>
      <c r="M404" s="5"/>
      <c r="N404" s="49"/>
    </row>
    <row r="405" spans="1:14" ht="17.25" customHeight="1" x14ac:dyDescent="0.2">
      <c r="B405" s="5"/>
      <c r="C405" s="5"/>
      <c r="D405" s="5"/>
      <c r="E405" s="5"/>
      <c r="F405" s="5"/>
      <c r="G405" s="5"/>
      <c r="H405" s="5"/>
      <c r="I405" s="5"/>
      <c r="J405" s="5"/>
      <c r="K405" s="10"/>
      <c r="L405" s="5"/>
      <c r="M405" s="5"/>
      <c r="N405" s="49"/>
    </row>
    <row r="406" spans="1:14" ht="17.25" customHeight="1" x14ac:dyDescent="0.2">
      <c r="B406" s="5"/>
      <c r="C406" s="5"/>
      <c r="D406" s="5"/>
      <c r="E406" s="5"/>
      <c r="F406" s="5"/>
      <c r="G406" s="5"/>
      <c r="H406" s="5"/>
      <c r="I406" s="5"/>
      <c r="J406" s="5"/>
      <c r="K406" s="10"/>
      <c r="L406" s="5"/>
      <c r="M406" s="5"/>
      <c r="N406" s="49"/>
    </row>
    <row r="407" spans="1:14" ht="17.25" customHeight="1" x14ac:dyDescent="0.2">
      <c r="B407" s="5"/>
      <c r="C407" s="5"/>
      <c r="D407" s="5"/>
      <c r="E407" s="5"/>
      <c r="F407" s="5"/>
      <c r="G407" s="5"/>
      <c r="H407" s="5"/>
      <c r="I407" s="5"/>
      <c r="J407" s="5"/>
      <c r="K407" s="10"/>
      <c r="L407" s="5"/>
      <c r="M407" s="5"/>
      <c r="N407" s="49"/>
    </row>
    <row r="408" spans="1:14" ht="17.25" customHeight="1" x14ac:dyDescent="0.2">
      <c r="A408" s="9" t="s">
        <v>409</v>
      </c>
      <c r="B408" s="5"/>
      <c r="C408" s="5"/>
      <c r="D408" s="5"/>
      <c r="E408" s="5"/>
      <c r="F408" s="5"/>
      <c r="G408" s="5"/>
      <c r="H408" s="5"/>
      <c r="I408" s="5"/>
      <c r="J408" s="5"/>
      <c r="K408" s="10"/>
      <c r="L408" s="5"/>
      <c r="M408" s="5"/>
      <c r="N408" s="49"/>
    </row>
    <row r="409" spans="1:14" ht="17.25" customHeight="1" x14ac:dyDescent="0.2">
      <c r="A409" s="147" t="s">
        <v>381</v>
      </c>
      <c r="B409" s="5"/>
      <c r="C409" s="5"/>
      <c r="D409" s="5"/>
      <c r="E409" s="10"/>
      <c r="F409" s="10"/>
      <c r="G409" s="10"/>
      <c r="H409" s="10"/>
      <c r="I409" s="10"/>
      <c r="J409" s="5"/>
      <c r="K409" s="10"/>
      <c r="L409" s="5"/>
      <c r="M409" s="5"/>
      <c r="N409" s="49"/>
    </row>
    <row r="410" spans="1:14" ht="17.25" customHeight="1" x14ac:dyDescent="0.2">
      <c r="B410" s="5"/>
      <c r="C410" s="5"/>
      <c r="D410" s="5"/>
      <c r="E410" s="10"/>
      <c r="F410" s="10"/>
      <c r="G410" s="10"/>
      <c r="H410" s="10"/>
      <c r="I410" s="10"/>
      <c r="J410" s="5"/>
      <c r="K410" s="10"/>
      <c r="L410" s="5"/>
      <c r="M410" s="5"/>
      <c r="N410" s="49"/>
    </row>
    <row r="411" spans="1:14" ht="17.25" customHeight="1" x14ac:dyDescent="0.2">
      <c r="A411" s="50"/>
      <c r="B411" s="5"/>
      <c r="C411" s="5"/>
      <c r="D411" s="5"/>
      <c r="E411" s="5"/>
      <c r="F411" s="5"/>
      <c r="G411" s="5"/>
      <c r="H411" s="5"/>
      <c r="I411" s="5"/>
      <c r="J411" s="5"/>
      <c r="K411" s="10"/>
      <c r="L411" s="5"/>
      <c r="M411" s="5"/>
      <c r="N411" s="49"/>
    </row>
    <row r="412" spans="1:14" ht="17.25" customHeight="1" x14ac:dyDescent="0.2">
      <c r="A412" s="48"/>
      <c r="B412" s="5"/>
      <c r="C412" s="5"/>
      <c r="D412" s="5"/>
      <c r="E412" s="5"/>
      <c r="F412" s="5"/>
      <c r="G412" s="5"/>
      <c r="H412" s="5"/>
      <c r="I412" s="148" t="s">
        <v>382</v>
      </c>
      <c r="J412" s="153">
        <f>0.25*0.5</f>
        <v>0.125</v>
      </c>
      <c r="K412" s="5"/>
      <c r="L412" s="5"/>
      <c r="M412" s="5"/>
      <c r="N412" s="49"/>
    </row>
    <row r="413" spans="1:14" ht="17.25" customHeight="1" x14ac:dyDescent="0.2">
      <c r="A413" s="48"/>
      <c r="B413" s="5"/>
      <c r="C413" s="5"/>
      <c r="D413" s="5"/>
      <c r="E413" s="5"/>
      <c r="F413" s="5"/>
      <c r="G413" s="5"/>
      <c r="H413" s="5"/>
      <c r="I413" s="148" t="s">
        <v>378</v>
      </c>
      <c r="J413" s="153">
        <v>0</v>
      </c>
      <c r="K413" s="5"/>
      <c r="L413" s="5"/>
      <c r="M413" s="5"/>
      <c r="N413" s="49"/>
    </row>
    <row r="414" spans="1:14" ht="17.25" customHeight="1" x14ac:dyDescent="0.2">
      <c r="A414" s="48"/>
      <c r="B414" s="5"/>
      <c r="C414" s="5"/>
      <c r="D414" s="5"/>
      <c r="E414" s="5"/>
      <c r="F414" s="5"/>
      <c r="G414" s="5"/>
      <c r="H414" s="5"/>
      <c r="I414" s="50" t="s">
        <v>424</v>
      </c>
      <c r="J414" s="5"/>
      <c r="K414" s="5"/>
      <c r="L414" s="5"/>
      <c r="M414" s="5"/>
      <c r="N414" s="49"/>
    </row>
    <row r="415" spans="1:14" ht="17.25" customHeight="1" x14ac:dyDescent="0.2">
      <c r="A415" s="48"/>
      <c r="B415" s="5"/>
      <c r="C415" s="5"/>
      <c r="D415" s="5"/>
      <c r="E415" s="5"/>
      <c r="F415" s="5"/>
      <c r="G415" s="5"/>
      <c r="H415" s="5"/>
      <c r="I415" s="50" t="s">
        <v>426</v>
      </c>
      <c r="J415" s="5"/>
      <c r="K415" s="5"/>
      <c r="L415" s="5"/>
      <c r="M415" s="5"/>
      <c r="N415" s="49"/>
    </row>
    <row r="416" spans="1:14" ht="17.25" customHeight="1" x14ac:dyDescent="0.2">
      <c r="A416" s="48"/>
      <c r="B416" s="5"/>
      <c r="C416" s="5"/>
      <c r="D416" s="5"/>
      <c r="E416" s="5"/>
      <c r="F416" s="5"/>
      <c r="G416" s="5"/>
      <c r="H416" s="5"/>
      <c r="I416" s="50" t="s">
        <v>425</v>
      </c>
      <c r="J416" s="5"/>
      <c r="K416" s="5"/>
      <c r="L416" s="5"/>
      <c r="M416" s="5"/>
      <c r="N416" s="49"/>
    </row>
    <row r="417" spans="1:23" ht="17.25" customHeight="1" x14ac:dyDescent="0.2">
      <c r="A417" s="48"/>
      <c r="B417" s="5"/>
      <c r="C417" s="5"/>
      <c r="D417" s="5"/>
      <c r="E417" s="5"/>
      <c r="F417" s="5"/>
      <c r="G417" s="5"/>
      <c r="H417" s="5"/>
      <c r="I417" s="5"/>
      <c r="J417" s="5"/>
      <c r="K417" s="5"/>
      <c r="L417" s="5"/>
      <c r="M417" s="5"/>
      <c r="N417" s="49"/>
    </row>
    <row r="418" spans="1:23" ht="17.25" customHeight="1" x14ac:dyDescent="0.2">
      <c r="A418" s="11" t="s">
        <v>366</v>
      </c>
      <c r="B418" s="5"/>
      <c r="C418" s="5"/>
      <c r="D418" s="5"/>
      <c r="E418" s="5"/>
      <c r="F418" s="5"/>
      <c r="G418" s="5"/>
      <c r="H418" s="5"/>
      <c r="I418" s="5"/>
      <c r="J418" s="5"/>
      <c r="K418" s="5"/>
      <c r="L418" s="5"/>
      <c r="M418" s="5"/>
      <c r="N418" s="49"/>
    </row>
    <row r="419" spans="1:23" ht="17.25" customHeight="1" x14ac:dyDescent="0.2">
      <c r="A419" s="11" t="s">
        <v>367</v>
      </c>
      <c r="B419" s="5"/>
      <c r="C419" s="5"/>
      <c r="D419" s="5"/>
      <c r="E419" s="5"/>
      <c r="F419" s="5"/>
      <c r="G419" s="5"/>
      <c r="H419" s="5"/>
      <c r="I419" s="5"/>
      <c r="J419" s="5"/>
      <c r="K419" s="5"/>
      <c r="L419" s="5"/>
      <c r="M419" s="5"/>
      <c r="N419" s="49"/>
    </row>
    <row r="420" spans="1:23" ht="17.25" customHeight="1" x14ac:dyDescent="0.2">
      <c r="A420" s="11" t="s">
        <v>372</v>
      </c>
      <c r="B420" s="5"/>
      <c r="C420" s="5"/>
      <c r="D420" s="5"/>
      <c r="E420" s="5"/>
      <c r="F420" s="5"/>
      <c r="G420" s="5"/>
      <c r="H420" s="5"/>
      <c r="I420" s="5"/>
      <c r="J420" s="5"/>
      <c r="K420" s="5"/>
      <c r="L420" s="5"/>
      <c r="M420" s="5"/>
      <c r="N420" s="49"/>
    </row>
    <row r="421" spans="1:23" ht="17.25" customHeight="1" x14ac:dyDescent="0.2">
      <c r="A421" s="144" t="s">
        <v>373</v>
      </c>
      <c r="B421" s="5"/>
      <c r="C421" s="5"/>
      <c r="D421" s="5"/>
      <c r="E421" s="5"/>
      <c r="F421" s="5"/>
      <c r="G421" s="5"/>
      <c r="H421" s="5"/>
      <c r="I421" s="5"/>
      <c r="J421" s="5"/>
      <c r="K421" s="5"/>
      <c r="L421" s="5"/>
      <c r="M421" s="5"/>
      <c r="N421" s="49"/>
    </row>
    <row r="422" spans="1:23" ht="17.25" customHeight="1" x14ac:dyDescent="0.2">
      <c r="A422" s="145"/>
      <c r="B422" s="5"/>
      <c r="C422" s="5"/>
      <c r="D422" s="9" t="s">
        <v>369</v>
      </c>
      <c r="E422" s="5"/>
      <c r="F422" s="5"/>
      <c r="G422" s="5"/>
      <c r="H422" s="5"/>
      <c r="I422" s="5"/>
      <c r="J422" s="5"/>
      <c r="K422" s="5"/>
      <c r="L422" s="5"/>
      <c r="M422" s="5"/>
      <c r="N422" s="49"/>
    </row>
    <row r="423" spans="1:23" ht="17.25" customHeight="1" x14ac:dyDescent="0.2">
      <c r="A423" s="146"/>
      <c r="B423" s="5"/>
      <c r="C423" s="5"/>
      <c r="D423" s="9" t="s">
        <v>370</v>
      </c>
      <c r="E423" s="5"/>
      <c r="F423" s="5"/>
      <c r="G423" s="5"/>
      <c r="H423" s="5"/>
      <c r="I423" s="5"/>
      <c r="J423" s="5"/>
      <c r="K423" s="5"/>
      <c r="L423" s="5"/>
      <c r="M423" s="5"/>
      <c r="N423" s="49"/>
    </row>
    <row r="424" spans="1:23" ht="17.25" customHeight="1" x14ac:dyDescent="0.2">
      <c r="A424" s="146"/>
      <c r="B424" s="5"/>
      <c r="C424" s="5"/>
      <c r="D424" s="9" t="s">
        <v>368</v>
      </c>
      <c r="E424" s="5"/>
      <c r="F424" s="5"/>
      <c r="G424" s="5"/>
      <c r="H424" s="5"/>
      <c r="I424" s="5"/>
      <c r="J424" s="5"/>
      <c r="K424" s="22" t="s">
        <v>371</v>
      </c>
      <c r="M424" s="5"/>
      <c r="N424" s="49"/>
    </row>
    <row r="425" spans="1:23" ht="17.25" customHeight="1" x14ac:dyDescent="0.2">
      <c r="A425" s="10"/>
      <c r="B425" s="5"/>
      <c r="C425" s="5"/>
      <c r="E425" s="5"/>
      <c r="G425" s="5"/>
      <c r="H425" s="5"/>
      <c r="I425" s="5"/>
      <c r="J425" s="5"/>
      <c r="K425" s="10"/>
      <c r="L425" s="5"/>
      <c r="M425" s="5"/>
      <c r="N425" s="49"/>
    </row>
    <row r="426" spans="1:23" ht="17.25" customHeight="1" thickBot="1" x14ac:dyDescent="0.25">
      <c r="A426" s="3" t="s">
        <v>374</v>
      </c>
      <c r="B426" s="5"/>
      <c r="C426" s="5"/>
      <c r="D426" s="5"/>
      <c r="E426" s="5"/>
      <c r="F426" s="5"/>
      <c r="G426" s="5"/>
      <c r="H426" s="5"/>
      <c r="I426" s="5"/>
      <c r="J426" s="5"/>
      <c r="K426" s="5"/>
      <c r="L426" s="5"/>
      <c r="M426" s="5"/>
      <c r="N426" s="49"/>
    </row>
    <row r="427" spans="1:23" ht="17.25" customHeight="1" x14ac:dyDescent="0.2">
      <c r="A427" s="10"/>
      <c r="B427" s="3"/>
      <c r="C427" s="142" t="s">
        <v>377</v>
      </c>
      <c r="D427" s="152">
        <f>J412</f>
        <v>0.125</v>
      </c>
      <c r="E427" s="3"/>
      <c r="F427" s="3"/>
      <c r="G427" s="3"/>
      <c r="H427" s="3"/>
      <c r="I427" s="3"/>
      <c r="J427" s="3"/>
      <c r="K427" s="10"/>
      <c r="M427" s="3"/>
      <c r="O427" s="233" t="s">
        <v>384</v>
      </c>
      <c r="P427" s="151">
        <f>$I$69</f>
        <v>24.7</v>
      </c>
      <c r="R427" s="159" t="s">
        <v>389</v>
      </c>
      <c r="S427" s="120">
        <f>COS((P427-P429-P430)*PI()/180)</f>
        <v>0.95332259696570509</v>
      </c>
      <c r="T427" s="120"/>
      <c r="U427" s="120"/>
      <c r="V427" s="120" t="s">
        <v>390</v>
      </c>
      <c r="W427" s="121">
        <f>S427*S427</f>
        <v>0.90882397388543623</v>
      </c>
    </row>
    <row r="428" spans="1:23" ht="17.25" customHeight="1" x14ac:dyDescent="0.2">
      <c r="A428" s="3"/>
      <c r="B428" s="3"/>
      <c r="C428" s="39" t="s">
        <v>378</v>
      </c>
      <c r="D428" s="152">
        <f>J413</f>
        <v>0</v>
      </c>
      <c r="F428" s="10"/>
      <c r="G428" s="10"/>
      <c r="H428" s="10"/>
      <c r="I428" s="10"/>
      <c r="J428" s="10"/>
      <c r="K428" s="10"/>
      <c r="L428" s="10"/>
      <c r="M428" s="3"/>
      <c r="O428" s="233" t="s">
        <v>385</v>
      </c>
      <c r="P428" s="151">
        <f>$B$68</f>
        <v>90</v>
      </c>
      <c r="R428" s="160" t="s">
        <v>391</v>
      </c>
      <c r="S428" s="10">
        <f>COS((P430)*PI()/180)</f>
        <v>0.99227787671366763</v>
      </c>
      <c r="V428" s="10" t="s">
        <v>397</v>
      </c>
      <c r="W428" s="122">
        <f>S428*S429*S429*S430</f>
        <v>0.95684183927143229</v>
      </c>
    </row>
    <row r="429" spans="1:23" ht="17.25" customHeight="1" x14ac:dyDescent="0.2">
      <c r="A429" s="3"/>
      <c r="B429" s="3"/>
      <c r="C429" s="39" t="s">
        <v>376</v>
      </c>
      <c r="D429" s="150">
        <f>ATAN(D427/(1-D428))*180/PI()</f>
        <v>7.1250163489017977</v>
      </c>
      <c r="F429" s="3"/>
      <c r="G429" s="3"/>
      <c r="H429" s="3"/>
      <c r="I429" s="3"/>
      <c r="J429" s="39" t="s">
        <v>417</v>
      </c>
      <c r="K429" s="137">
        <f>0.5*D430*$I$68*$B$73*$B$73*(1-$D$428)</f>
        <v>1.1693248514613432</v>
      </c>
      <c r="L429" s="3" t="s">
        <v>321</v>
      </c>
      <c r="M429" s="3"/>
      <c r="O429" s="233" t="s">
        <v>383</v>
      </c>
      <c r="P429" s="151">
        <f>90-$P$428</f>
        <v>0</v>
      </c>
      <c r="R429" s="160" t="s">
        <v>392</v>
      </c>
      <c r="S429" s="10">
        <f>COS((P429)*PI()/180)</f>
        <v>1</v>
      </c>
      <c r="V429" s="10" t="s">
        <v>317</v>
      </c>
      <c r="W429" s="122">
        <f>SQRT((S431*T432)/(S430*S433))</f>
        <v>0.4126022206147551</v>
      </c>
    </row>
    <row r="430" spans="1:23" ht="17.25" customHeight="1" x14ac:dyDescent="0.2">
      <c r="A430" s="3"/>
      <c r="B430" s="3"/>
      <c r="C430" s="39" t="s">
        <v>375</v>
      </c>
      <c r="D430" s="134">
        <f>W432</f>
        <v>0.4759922134251714</v>
      </c>
      <c r="E430" s="9" t="s">
        <v>9</v>
      </c>
      <c r="F430" s="3"/>
      <c r="G430" s="3"/>
      <c r="H430" s="3"/>
      <c r="I430" s="3"/>
      <c r="J430" s="39"/>
      <c r="K430" s="3"/>
      <c r="L430" s="3"/>
      <c r="M430" s="3"/>
      <c r="O430" s="233" t="s">
        <v>386</v>
      </c>
      <c r="P430" s="151">
        <f>$D$429</f>
        <v>7.1250163489017977</v>
      </c>
      <c r="R430" s="160" t="s">
        <v>393</v>
      </c>
      <c r="S430" s="10">
        <f>COS((P432+P429+P430)*PI()/180)</f>
        <v>0.96428819157029255</v>
      </c>
      <c r="V430" s="10" t="s">
        <v>398</v>
      </c>
      <c r="W430" s="122">
        <f>POWER(1+W429,2)</f>
        <v>1.995445033685737</v>
      </c>
    </row>
    <row r="431" spans="1:23" ht="17.25" customHeight="1" thickBot="1" x14ac:dyDescent="0.25">
      <c r="A431" s="3"/>
      <c r="B431" s="3"/>
      <c r="C431" s="39" t="s">
        <v>427</v>
      </c>
      <c r="D431" s="134">
        <f>W445</f>
        <v>2.7528022642712386</v>
      </c>
      <c r="E431" s="9" t="s">
        <v>10</v>
      </c>
      <c r="G431" s="10"/>
      <c r="H431" s="3"/>
      <c r="I431" s="3"/>
      <c r="J431" s="3"/>
      <c r="K431" s="3"/>
      <c r="L431" s="3"/>
      <c r="M431" s="3"/>
      <c r="O431" s="233" t="s">
        <v>387</v>
      </c>
      <c r="P431" s="151">
        <f>$B$70</f>
        <v>0</v>
      </c>
      <c r="R431" s="160" t="s">
        <v>394</v>
      </c>
      <c r="S431" s="10">
        <f>SIN((P432+P427)*PI()/180)</f>
        <v>0.54366282903738328</v>
      </c>
      <c r="W431" s="122">
        <f>W428*W430</f>
        <v>1.9093252961969058</v>
      </c>
    </row>
    <row r="432" spans="1:23" ht="17.25" customHeight="1" thickBot="1" x14ac:dyDescent="0.25">
      <c r="A432" s="3"/>
      <c r="B432" s="3"/>
      <c r="C432" s="39"/>
      <c r="D432" s="3"/>
      <c r="G432" s="10"/>
      <c r="H432" s="3"/>
      <c r="I432" s="3"/>
      <c r="J432" s="3"/>
      <c r="K432" s="3"/>
      <c r="L432" s="3"/>
      <c r="M432" s="3"/>
      <c r="O432" s="233" t="s">
        <v>388</v>
      </c>
      <c r="P432" s="151">
        <f>$B$71</f>
        <v>8.2333333333333325</v>
      </c>
      <c r="R432" s="160" t="s">
        <v>395</v>
      </c>
      <c r="S432" s="10">
        <f>SIN((P427-P431-P430)*PI()/180)</f>
        <v>0.30195368206823342</v>
      </c>
      <c r="T432" s="129">
        <f>IF(S432&lt;0, 0,S432)</f>
        <v>0.30195368206823342</v>
      </c>
      <c r="V432" s="162" t="s">
        <v>399</v>
      </c>
      <c r="W432" s="163">
        <f>W427/W431</f>
        <v>0.4759922134251714</v>
      </c>
    </row>
    <row r="433" spans="1:23" ht="17.25" customHeight="1" thickBot="1" x14ac:dyDescent="0.25">
      <c r="A433" s="27" t="s">
        <v>327</v>
      </c>
      <c r="I433" s="10"/>
      <c r="J433" s="10"/>
      <c r="M433" s="3"/>
      <c r="R433" s="161" t="s">
        <v>396</v>
      </c>
      <c r="S433" s="123">
        <f>COS((P431-P429)*PI()/180)</f>
        <v>1</v>
      </c>
      <c r="T433" s="123"/>
      <c r="U433" s="123"/>
      <c r="V433" s="123"/>
      <c r="W433" s="124"/>
    </row>
    <row r="434" spans="1:23" ht="17.25" customHeight="1" x14ac:dyDescent="0.2">
      <c r="A434" s="3" t="s">
        <v>13</v>
      </c>
      <c r="B434" s="3"/>
      <c r="C434" s="3"/>
      <c r="G434" s="3"/>
      <c r="H434" s="3"/>
      <c r="K434" s="3"/>
      <c r="M434" s="3"/>
    </row>
    <row r="435" spans="1:23" ht="17.25" customHeight="1" x14ac:dyDescent="0.2">
      <c r="A435" s="3"/>
      <c r="B435" s="3"/>
      <c r="C435" s="3"/>
      <c r="G435" s="3"/>
      <c r="H435" s="3"/>
      <c r="I435" s="3"/>
      <c r="J435" s="3"/>
      <c r="K435" s="3"/>
      <c r="L435" s="3"/>
      <c r="M435" s="3"/>
    </row>
    <row r="436" spans="1:23" ht="17.25" customHeight="1" x14ac:dyDescent="0.2">
      <c r="B436" s="3"/>
      <c r="C436" s="3"/>
      <c r="D436" s="3"/>
      <c r="E436" s="3"/>
      <c r="F436" s="3"/>
      <c r="G436" s="3" t="s">
        <v>418</v>
      </c>
      <c r="H436" s="3"/>
      <c r="I436" s="3"/>
      <c r="J436" s="3"/>
      <c r="K436" s="3"/>
      <c r="L436" s="3"/>
      <c r="M436" s="3"/>
    </row>
    <row r="437" spans="1:23" ht="17.25" customHeight="1" x14ac:dyDescent="0.2">
      <c r="A437" s="3"/>
      <c r="B437" s="10"/>
      <c r="C437" s="10"/>
      <c r="D437" s="10"/>
      <c r="E437" s="10"/>
      <c r="F437" s="10"/>
      <c r="G437" s="10"/>
      <c r="H437" s="10"/>
      <c r="I437" s="28" t="s">
        <v>419</v>
      </c>
      <c r="J437" s="134">
        <f>K429-D249</f>
        <v>0.23285764928301655</v>
      </c>
      <c r="K437" s="3" t="s">
        <v>321</v>
      </c>
      <c r="L437" s="3"/>
      <c r="M437" s="3"/>
    </row>
    <row r="438" spans="1:23" ht="17.25" customHeight="1" x14ac:dyDescent="0.2">
      <c r="A438" s="3"/>
      <c r="B438" s="10"/>
      <c r="C438" s="10"/>
      <c r="D438" s="10"/>
      <c r="E438" s="10"/>
      <c r="F438" s="10"/>
      <c r="G438" s="10" t="s">
        <v>420</v>
      </c>
      <c r="H438" s="10"/>
      <c r="I438" s="10"/>
      <c r="J438" s="10"/>
      <c r="K438" s="10"/>
      <c r="L438" s="3"/>
      <c r="M438" s="3"/>
      <c r="W438" s="164" t="s">
        <v>412</v>
      </c>
    </row>
    <row r="439" spans="1:23" ht="17.25" customHeight="1" thickBot="1" x14ac:dyDescent="0.25">
      <c r="A439" s="3"/>
      <c r="B439" s="10"/>
      <c r="C439" s="10"/>
      <c r="D439" s="10"/>
      <c r="E439" s="10"/>
      <c r="F439" s="10"/>
      <c r="G439" s="10"/>
      <c r="H439" s="10"/>
      <c r="I439" s="136">
        <f>(2*J437)/H442</f>
        <v>0.24511331503475428</v>
      </c>
      <c r="J439" s="10"/>
      <c r="K439" s="10"/>
      <c r="L439" s="3"/>
      <c r="M439" s="3"/>
      <c r="W439" s="164"/>
    </row>
    <row r="440" spans="1:23" ht="17.25" customHeight="1" x14ac:dyDescent="0.2">
      <c r="A440" s="3"/>
      <c r="B440" s="10"/>
      <c r="C440" s="10"/>
      <c r="D440" s="10"/>
      <c r="E440" s="10"/>
      <c r="F440" s="10"/>
      <c r="G440" s="10"/>
      <c r="H440" s="10"/>
      <c r="I440" s="10"/>
      <c r="J440" s="10"/>
      <c r="K440" s="10"/>
      <c r="L440" s="3"/>
      <c r="M440" s="3"/>
      <c r="O440" s="233" t="s">
        <v>384</v>
      </c>
      <c r="P440" s="151">
        <f>$I$69</f>
        <v>24.7</v>
      </c>
      <c r="R440" s="159" t="s">
        <v>411</v>
      </c>
      <c r="S440" s="120">
        <f>COS((P440+P442-P443)*PI()/180)</f>
        <v>0.95332259696570509</v>
      </c>
      <c r="T440" s="120"/>
      <c r="U440" s="120"/>
      <c r="V440" s="120" t="s">
        <v>390</v>
      </c>
      <c r="W440" s="121">
        <f>S440*S440</f>
        <v>0.90882397388543623</v>
      </c>
    </row>
    <row r="441" spans="1:23" ht="17.25" customHeight="1" x14ac:dyDescent="0.2">
      <c r="A441" s="3"/>
      <c r="B441" s="10"/>
      <c r="C441" s="10"/>
      <c r="D441" s="10"/>
      <c r="E441" s="10"/>
      <c r="F441" s="10"/>
      <c r="G441" s="10"/>
      <c r="H441" s="10"/>
      <c r="I441" s="10"/>
      <c r="J441" s="10"/>
      <c r="K441" s="10"/>
      <c r="L441" s="3"/>
      <c r="M441" s="3"/>
      <c r="O441" s="233" t="s">
        <v>385</v>
      </c>
      <c r="P441" s="151">
        <f>$B$68</f>
        <v>90</v>
      </c>
      <c r="R441" s="160" t="s">
        <v>391</v>
      </c>
      <c r="S441" s="10">
        <f>COS((P443)*PI()/180)</f>
        <v>0.99227787671366763</v>
      </c>
      <c r="V441" s="10" t="s">
        <v>397</v>
      </c>
      <c r="W441" s="122">
        <f>S441*S442*S442*S443</f>
        <v>0.95684183927143229</v>
      </c>
    </row>
    <row r="442" spans="1:23" ht="17.25" customHeight="1" x14ac:dyDescent="0.2">
      <c r="A442" s="3"/>
      <c r="B442" s="10"/>
      <c r="C442" s="10"/>
      <c r="D442" s="10"/>
      <c r="E442" s="10"/>
      <c r="F442" s="10"/>
      <c r="G442" s="28" t="s">
        <v>320</v>
      </c>
      <c r="H442" s="135">
        <f>B73</f>
        <v>1.9</v>
      </c>
      <c r="I442" s="10"/>
      <c r="J442" s="10"/>
      <c r="K442" s="10"/>
      <c r="L442" s="3"/>
      <c r="M442" s="3"/>
      <c r="O442" s="233" t="s">
        <v>383</v>
      </c>
      <c r="P442" s="151">
        <f>90-$P$441</f>
        <v>0</v>
      </c>
      <c r="R442" s="160" t="s">
        <v>392</v>
      </c>
      <c r="S442" s="10">
        <f>COS((P442)*PI()/180)</f>
        <v>1</v>
      </c>
      <c r="V442" s="10" t="s">
        <v>317</v>
      </c>
      <c r="W442" s="122">
        <f>SQRT((S444*T445)/(S443*S446))</f>
        <v>0.4126022206147551</v>
      </c>
    </row>
    <row r="443" spans="1:23" ht="17.25" customHeight="1" x14ac:dyDescent="0.2">
      <c r="A443" s="3"/>
      <c r="B443" s="10"/>
      <c r="C443" s="10"/>
      <c r="D443" s="10"/>
      <c r="E443" s="10"/>
      <c r="F443" s="10"/>
      <c r="G443" s="10"/>
      <c r="H443" s="10"/>
      <c r="I443" s="10"/>
      <c r="J443" s="10"/>
      <c r="K443" s="10"/>
      <c r="L443" s="3"/>
      <c r="M443" s="3"/>
      <c r="O443" s="233" t="s">
        <v>386</v>
      </c>
      <c r="P443" s="151">
        <f>$D$429</f>
        <v>7.1250163489017977</v>
      </c>
      <c r="R443" s="160" t="s">
        <v>413</v>
      </c>
      <c r="S443" s="10">
        <f>COS((P445-P442+P443)*PI()/180)</f>
        <v>0.96428819157029255</v>
      </c>
      <c r="V443" s="10" t="s">
        <v>415</v>
      </c>
      <c r="W443" s="122">
        <f>POWER(1-W442,2)</f>
        <v>0.34503615122671688</v>
      </c>
    </row>
    <row r="444" spans="1:23" ht="17.25" customHeight="1" thickBot="1" x14ac:dyDescent="0.25">
      <c r="A444" s="3"/>
      <c r="B444" s="10"/>
      <c r="C444" s="10"/>
      <c r="D444" s="10"/>
      <c r="E444" s="10"/>
      <c r="F444" s="10"/>
      <c r="G444" s="10"/>
      <c r="H444" s="10"/>
      <c r="I444" s="10"/>
      <c r="J444" s="10"/>
      <c r="K444" s="10"/>
      <c r="L444" s="3"/>
      <c r="M444" s="3"/>
      <c r="O444" s="233" t="s">
        <v>387</v>
      </c>
      <c r="P444" s="151">
        <f>$B$70</f>
        <v>0</v>
      </c>
      <c r="R444" s="160" t="s">
        <v>394</v>
      </c>
      <c r="S444" s="10">
        <f>SIN((P445+P440)*PI()/180)</f>
        <v>0.54366282903738328</v>
      </c>
      <c r="W444" s="122">
        <f>W441*W443</f>
        <v>0.33014502555490782</v>
      </c>
    </row>
    <row r="445" spans="1:23" ht="17.25" customHeight="1" thickBot="1" x14ac:dyDescent="0.25">
      <c r="A445" s="3"/>
      <c r="B445" s="10"/>
      <c r="C445" s="10"/>
      <c r="D445" s="10"/>
      <c r="E445" s="10"/>
      <c r="F445" s="10"/>
      <c r="G445" s="10"/>
      <c r="H445" s="10"/>
      <c r="I445" s="10"/>
      <c r="J445" s="10"/>
      <c r="K445" s="10"/>
      <c r="L445" s="3"/>
      <c r="M445" s="3"/>
      <c r="O445" s="233" t="s">
        <v>388</v>
      </c>
      <c r="P445" s="151">
        <f>$B$71</f>
        <v>8.2333333333333325</v>
      </c>
      <c r="R445" s="160" t="s">
        <v>414</v>
      </c>
      <c r="S445" s="10">
        <f>SIN((P440+P444-P443)*PI()/180)</f>
        <v>0.30195368206823342</v>
      </c>
      <c r="T445" s="129">
        <f>IF(S445&lt;0, 0,S445)</f>
        <v>0.30195368206823342</v>
      </c>
      <c r="V445" s="162" t="s">
        <v>416</v>
      </c>
      <c r="W445" s="163">
        <f>W440/W444</f>
        <v>2.7528022642712386</v>
      </c>
    </row>
    <row r="446" spans="1:23" ht="17.25" customHeight="1" thickBot="1" x14ac:dyDescent="0.25">
      <c r="A446" s="3"/>
      <c r="B446" s="10"/>
      <c r="C446" s="10"/>
      <c r="D446" s="10"/>
      <c r="E446" s="10"/>
      <c r="F446" s="10"/>
      <c r="G446" s="10"/>
      <c r="H446" s="10"/>
      <c r="I446" s="10"/>
      <c r="J446" s="10"/>
      <c r="K446" s="10"/>
      <c r="L446" s="3"/>
      <c r="M446" s="3"/>
      <c r="R446" s="161" t="s">
        <v>396</v>
      </c>
      <c r="S446" s="123">
        <f>COS((P444-P442)*PI()/180)</f>
        <v>1</v>
      </c>
      <c r="T446" s="123"/>
      <c r="U446" s="123"/>
      <c r="V446" s="123"/>
      <c r="W446" s="124"/>
    </row>
    <row r="447" spans="1:23" ht="17.25" customHeight="1" x14ac:dyDescent="0.2">
      <c r="A447" s="3"/>
      <c r="B447" s="10"/>
      <c r="C447" s="10"/>
      <c r="D447" s="10"/>
      <c r="E447" s="10"/>
      <c r="F447" s="10"/>
      <c r="G447" s="10"/>
      <c r="H447" s="10"/>
      <c r="I447" s="136">
        <v>0</v>
      </c>
      <c r="J447" s="10"/>
      <c r="K447" s="10"/>
      <c r="L447" s="3"/>
      <c r="M447" s="3"/>
      <c r="W447" s="164"/>
    </row>
    <row r="448" spans="1:23" ht="17.25" customHeight="1" x14ac:dyDescent="0.2">
      <c r="A448" s="3"/>
      <c r="B448" s="10"/>
      <c r="C448" s="10"/>
      <c r="D448" s="10"/>
      <c r="E448" s="10"/>
      <c r="F448" s="10"/>
      <c r="G448" s="10"/>
      <c r="H448" s="10"/>
      <c r="I448" s="10"/>
      <c r="J448" s="10"/>
      <c r="K448" s="10"/>
      <c r="L448" s="3"/>
      <c r="M448" s="3"/>
      <c r="W448" s="164"/>
    </row>
    <row r="449" spans="1:26" ht="17.25" customHeight="1" x14ac:dyDescent="0.2">
      <c r="A449" s="3"/>
      <c r="B449" s="10"/>
      <c r="C449" s="10"/>
      <c r="D449" s="10"/>
      <c r="E449" s="10"/>
      <c r="F449" s="10"/>
      <c r="G449" s="10"/>
      <c r="H449" s="10"/>
      <c r="I449" s="10"/>
      <c r="J449" s="10"/>
      <c r="K449" s="10"/>
      <c r="L449" s="3"/>
      <c r="M449" s="3"/>
      <c r="W449" s="164"/>
    </row>
    <row r="450" spans="1:26" ht="17.25" customHeight="1" x14ac:dyDescent="0.2">
      <c r="A450" s="27" t="s">
        <v>328</v>
      </c>
      <c r="B450" s="10"/>
      <c r="C450" s="10"/>
      <c r="D450" s="10"/>
      <c r="E450" s="10"/>
      <c r="F450" s="10"/>
      <c r="G450" s="10"/>
      <c r="H450" s="10"/>
      <c r="I450" s="3"/>
      <c r="J450" s="10"/>
      <c r="K450" s="10"/>
      <c r="L450" s="3"/>
      <c r="M450" s="3"/>
    </row>
    <row r="451" spans="1:26" ht="17.25" customHeight="1" x14ac:dyDescent="0.2">
      <c r="A451" s="41" t="s">
        <v>11</v>
      </c>
      <c r="B451" s="134">
        <v>0</v>
      </c>
      <c r="C451" s="41" t="s">
        <v>6</v>
      </c>
      <c r="D451" s="87">
        <f>I447</f>
        <v>0</v>
      </c>
      <c r="E451" s="42"/>
      <c r="F451" s="42"/>
      <c r="G451" s="42"/>
      <c r="H451" s="41" t="s">
        <v>7</v>
      </c>
      <c r="I451" s="134">
        <f>(D451-D452)/(B451-B452)</f>
        <v>0.12900700791302858</v>
      </c>
      <c r="J451" s="10"/>
      <c r="K451" s="3"/>
      <c r="L451" s="3"/>
      <c r="Z451" s="149"/>
    </row>
    <row r="452" spans="1:26" ht="17.25" customHeight="1" x14ac:dyDescent="0.2">
      <c r="A452" s="41" t="s">
        <v>11</v>
      </c>
      <c r="B452" s="87">
        <f>B451+H442</f>
        <v>1.9</v>
      </c>
      <c r="C452" s="41" t="s">
        <v>6</v>
      </c>
      <c r="D452" s="87">
        <f>I439</f>
        <v>0.24511331503475428</v>
      </c>
      <c r="E452" s="42"/>
      <c r="F452" s="42"/>
      <c r="G452" s="42"/>
      <c r="H452" s="41" t="s">
        <v>8</v>
      </c>
      <c r="I452" s="134">
        <f>D451-I451*B451</f>
        <v>0</v>
      </c>
      <c r="J452" s="10"/>
      <c r="K452" s="3"/>
      <c r="L452" s="3"/>
    </row>
    <row r="453" spans="1:26" ht="17.25" customHeight="1" x14ac:dyDescent="0.2">
      <c r="A453" s="3"/>
      <c r="B453" s="10"/>
      <c r="C453" s="10"/>
      <c r="D453" s="10"/>
      <c r="E453" s="10"/>
      <c r="F453" s="10"/>
      <c r="G453" s="10"/>
      <c r="H453" s="10"/>
      <c r="I453" s="10"/>
      <c r="J453" s="10"/>
      <c r="K453" s="3"/>
      <c r="L453" s="3"/>
      <c r="M453" s="3"/>
    </row>
    <row r="454" spans="1:26" ht="17.25" customHeight="1" x14ac:dyDescent="0.2">
      <c r="A454" s="261" t="s">
        <v>325</v>
      </c>
      <c r="B454" s="261"/>
      <c r="C454" s="261"/>
      <c r="D454" s="261"/>
      <c r="E454" s="261"/>
      <c r="F454" s="261"/>
      <c r="G454" s="261"/>
      <c r="H454" s="261"/>
      <c r="I454" s="261"/>
      <c r="J454" s="261"/>
      <c r="K454" s="261"/>
      <c r="L454" s="261"/>
      <c r="M454" s="261"/>
    </row>
    <row r="455" spans="1:26" ht="17.25" customHeight="1" x14ac:dyDescent="0.2">
      <c r="A455" s="48"/>
      <c r="B455" s="5"/>
      <c r="C455" s="5"/>
      <c r="D455" s="5"/>
      <c r="E455" s="5"/>
      <c r="F455" s="5"/>
      <c r="G455" s="5"/>
      <c r="H455" s="5"/>
      <c r="I455" s="5"/>
      <c r="J455" s="5"/>
      <c r="K455" s="5"/>
      <c r="L455" s="5"/>
      <c r="M455" s="5"/>
    </row>
    <row r="456" spans="1:26" ht="17.25" customHeight="1" x14ac:dyDescent="0.2">
      <c r="A456" s="48"/>
      <c r="B456" s="5"/>
      <c r="C456" s="5"/>
      <c r="D456" s="5"/>
      <c r="E456" s="5"/>
      <c r="H456" s="5"/>
      <c r="I456" s="5"/>
      <c r="J456" s="5"/>
      <c r="K456" s="10"/>
      <c r="L456" s="5"/>
      <c r="M456" s="5"/>
    </row>
    <row r="457" spans="1:26" ht="17.25" customHeight="1" x14ac:dyDescent="0.2">
      <c r="A457" s="10"/>
      <c r="B457" s="5"/>
      <c r="C457" s="5"/>
      <c r="D457" s="5"/>
      <c r="E457" s="5"/>
      <c r="H457" s="5"/>
      <c r="I457" s="5"/>
      <c r="J457" s="5"/>
      <c r="K457" s="5"/>
      <c r="L457" s="5"/>
      <c r="M457" s="5"/>
    </row>
    <row r="458" spans="1:26" ht="17.25" customHeight="1" x14ac:dyDescent="0.2">
      <c r="A458" s="10"/>
      <c r="B458" s="5"/>
      <c r="C458" s="5"/>
      <c r="D458" s="5"/>
      <c r="E458" s="5"/>
      <c r="H458" s="5"/>
      <c r="I458" s="5"/>
      <c r="J458" s="5"/>
      <c r="K458" s="5"/>
      <c r="L458" s="5"/>
      <c r="M458" s="5"/>
    </row>
    <row r="459" spans="1:26" ht="17.25" customHeight="1" x14ac:dyDescent="0.2">
      <c r="A459" s="50"/>
      <c r="B459" s="5"/>
      <c r="C459" s="5"/>
      <c r="D459" s="5"/>
      <c r="E459" s="5"/>
      <c r="H459" s="5"/>
      <c r="I459" s="5"/>
      <c r="J459" s="5"/>
      <c r="K459" s="5"/>
      <c r="L459" s="5"/>
      <c r="M459" s="5"/>
    </row>
    <row r="460" spans="1:26" ht="17.25" customHeight="1" x14ac:dyDescent="0.2">
      <c r="A460" s="10"/>
      <c r="B460" s="5"/>
      <c r="C460" s="5"/>
      <c r="D460" s="5"/>
      <c r="E460" s="5"/>
      <c r="H460" s="5"/>
      <c r="I460" s="5"/>
      <c r="J460" s="5"/>
      <c r="K460" s="5"/>
      <c r="L460" s="5"/>
      <c r="M460" s="5"/>
      <c r="N460" s="49"/>
    </row>
    <row r="461" spans="1:26" ht="17.25" customHeight="1" x14ac:dyDescent="0.2">
      <c r="A461" s="48"/>
      <c r="B461" s="5"/>
      <c r="C461" s="5"/>
      <c r="D461" s="5"/>
      <c r="E461" s="5"/>
      <c r="F461" s="5"/>
      <c r="G461" s="5"/>
      <c r="H461" s="10"/>
      <c r="I461" s="10"/>
      <c r="J461" s="5"/>
      <c r="K461" s="5"/>
      <c r="L461" s="5"/>
      <c r="M461" s="5"/>
      <c r="N461" s="49"/>
    </row>
    <row r="462" spans="1:26" ht="17.25" customHeight="1" x14ac:dyDescent="0.2">
      <c r="A462" s="48"/>
      <c r="B462" s="5"/>
      <c r="C462" s="5"/>
      <c r="D462" s="5"/>
      <c r="E462" s="5"/>
      <c r="F462" s="5"/>
      <c r="G462" s="5"/>
      <c r="H462" s="5"/>
      <c r="I462" s="5"/>
      <c r="J462" s="5"/>
      <c r="K462" s="5"/>
      <c r="L462" s="5"/>
      <c r="M462" s="5"/>
      <c r="N462" s="49"/>
    </row>
    <row r="463" spans="1:26" ht="17.25" customHeight="1" x14ac:dyDescent="0.2">
      <c r="A463" s="48"/>
      <c r="B463" s="5"/>
      <c r="C463" s="5"/>
      <c r="D463" s="5"/>
      <c r="E463" s="5"/>
      <c r="F463" s="5"/>
      <c r="G463" s="5"/>
      <c r="H463" s="5"/>
      <c r="I463" s="5"/>
      <c r="J463" s="5"/>
      <c r="K463" s="5"/>
      <c r="L463" s="5"/>
      <c r="M463" s="5"/>
      <c r="N463" s="49"/>
    </row>
    <row r="464" spans="1:26" ht="17.25" customHeight="1" x14ac:dyDescent="0.2">
      <c r="A464" s="48"/>
      <c r="B464" s="5"/>
      <c r="C464" s="5"/>
      <c r="D464" s="5"/>
      <c r="E464" s="5"/>
      <c r="F464" s="5"/>
      <c r="G464" s="5"/>
      <c r="H464" s="5"/>
      <c r="I464" s="5"/>
      <c r="J464" s="5"/>
      <c r="K464" s="5"/>
      <c r="L464" s="5"/>
      <c r="M464" s="5"/>
      <c r="N464" s="49"/>
    </row>
    <row r="465" spans="1:14" ht="17.25" customHeight="1" x14ac:dyDescent="0.2">
      <c r="A465" s="48"/>
      <c r="B465" s="5"/>
      <c r="C465" s="5"/>
      <c r="D465" s="5"/>
      <c r="E465" s="5"/>
      <c r="F465" s="5"/>
      <c r="G465" s="5"/>
      <c r="H465" s="5"/>
      <c r="I465" s="5"/>
      <c r="J465" s="5"/>
      <c r="K465" s="5"/>
      <c r="L465" s="5"/>
      <c r="M465" s="5"/>
      <c r="N465" s="49"/>
    </row>
    <row r="466" spans="1:14" ht="17.25" customHeight="1" x14ac:dyDescent="0.2">
      <c r="A466" s="48"/>
      <c r="B466" s="5"/>
      <c r="C466" s="5"/>
      <c r="D466" s="5"/>
      <c r="E466" s="5"/>
      <c r="F466" s="5"/>
      <c r="G466" s="5"/>
      <c r="H466" s="5"/>
      <c r="I466" s="5"/>
      <c r="J466" s="5"/>
      <c r="K466" s="5"/>
      <c r="L466" s="5"/>
      <c r="M466" s="5"/>
      <c r="N466" s="49"/>
    </row>
    <row r="467" spans="1:14" ht="17.25" customHeight="1" x14ac:dyDescent="0.2">
      <c r="A467" s="48"/>
      <c r="B467" s="5"/>
      <c r="C467" s="5"/>
      <c r="D467" s="5"/>
      <c r="E467" s="5"/>
      <c r="F467" s="5"/>
      <c r="G467" s="5"/>
      <c r="H467" s="5"/>
      <c r="I467" s="5"/>
      <c r="J467" s="5"/>
      <c r="K467" s="5"/>
      <c r="L467" s="5"/>
      <c r="M467" s="5"/>
      <c r="N467" s="49"/>
    </row>
    <row r="468" spans="1:14" ht="17.25" customHeight="1" x14ac:dyDescent="0.2">
      <c r="A468" s="48"/>
      <c r="B468" s="5"/>
      <c r="C468" s="5"/>
      <c r="D468" s="5"/>
      <c r="E468" s="5"/>
      <c r="F468" s="5"/>
      <c r="G468" s="5"/>
      <c r="H468" s="5"/>
      <c r="I468" s="5"/>
      <c r="J468" s="5"/>
      <c r="K468" s="5"/>
      <c r="L468" s="5"/>
      <c r="M468" s="5"/>
      <c r="N468" s="49"/>
    </row>
    <row r="469" spans="1:14" ht="17.25" customHeight="1" x14ac:dyDescent="0.2">
      <c r="A469" s="48"/>
      <c r="B469" s="5"/>
      <c r="C469" s="5"/>
      <c r="D469" s="5"/>
      <c r="E469" s="5"/>
      <c r="F469" s="5"/>
      <c r="G469" s="5"/>
      <c r="H469" s="5"/>
      <c r="I469" s="5"/>
      <c r="J469" s="5"/>
      <c r="K469" s="5"/>
      <c r="L469" s="5"/>
      <c r="M469" s="5"/>
      <c r="N469" s="49"/>
    </row>
    <row r="470" spans="1:14" ht="17.25" customHeight="1" x14ac:dyDescent="0.2">
      <c r="A470" s="48"/>
      <c r="B470" s="5"/>
      <c r="C470" s="5"/>
      <c r="D470" s="5"/>
      <c r="E470" s="5"/>
      <c r="F470" s="5"/>
      <c r="G470" s="5"/>
      <c r="H470" s="5"/>
      <c r="I470" s="5"/>
      <c r="J470" s="5"/>
      <c r="K470" s="5"/>
      <c r="L470" s="5"/>
      <c r="M470" s="5"/>
      <c r="N470" s="49"/>
    </row>
    <row r="471" spans="1:14" ht="17.25" customHeight="1" x14ac:dyDescent="0.2">
      <c r="A471" s="48"/>
      <c r="B471" s="5"/>
      <c r="C471" s="5"/>
      <c r="D471" s="5"/>
      <c r="E471" s="5"/>
      <c r="F471" s="5"/>
      <c r="G471" s="5"/>
      <c r="H471" s="5"/>
      <c r="I471" s="5"/>
      <c r="J471" s="5"/>
      <c r="K471" s="5"/>
      <c r="L471" s="5"/>
      <c r="M471" s="5"/>
      <c r="N471" s="49"/>
    </row>
    <row r="472" spans="1:14" ht="17.25" customHeight="1" x14ac:dyDescent="0.2">
      <c r="A472" s="48"/>
      <c r="B472" s="5"/>
      <c r="C472" s="5"/>
      <c r="D472" s="5"/>
      <c r="E472" s="5"/>
      <c r="F472" s="5"/>
      <c r="G472" s="5"/>
      <c r="H472" s="5"/>
      <c r="I472" s="5"/>
      <c r="J472" s="5"/>
      <c r="K472" s="5"/>
      <c r="L472" s="5"/>
      <c r="M472" s="5"/>
      <c r="N472" s="49"/>
    </row>
    <row r="473" spans="1:14" ht="17.25" customHeight="1" x14ac:dyDescent="0.2">
      <c r="A473" s="48"/>
      <c r="B473" s="5"/>
      <c r="C473" s="5"/>
      <c r="D473" s="5"/>
      <c r="E473" s="5"/>
      <c r="F473" s="5"/>
      <c r="G473" s="5"/>
      <c r="H473" s="5"/>
      <c r="I473" s="5"/>
      <c r="J473" s="5"/>
      <c r="K473" s="5"/>
      <c r="L473" s="5"/>
      <c r="M473" s="5"/>
      <c r="N473" s="49"/>
    </row>
    <row r="474" spans="1:14" ht="17.25" customHeight="1" x14ac:dyDescent="0.2">
      <c r="A474" s="13" t="s">
        <v>458</v>
      </c>
      <c r="C474" s="8"/>
    </row>
    <row r="475" spans="1:14" ht="17.25" customHeight="1" x14ac:dyDescent="0.2">
      <c r="A475" s="9" t="s">
        <v>347</v>
      </c>
      <c r="D475" s="45"/>
      <c r="E475" s="45"/>
      <c r="F475" s="45"/>
      <c r="G475" s="45"/>
      <c r="H475" s="45"/>
      <c r="I475" s="45"/>
      <c r="J475" s="45"/>
    </row>
    <row r="476" spans="1:14" ht="17.25" customHeight="1" x14ac:dyDescent="0.2">
      <c r="A476" s="27" t="s">
        <v>327</v>
      </c>
      <c r="G476" s="39"/>
      <c r="I476" s="3"/>
    </row>
    <row r="477" spans="1:14" ht="17.25" customHeight="1" x14ac:dyDescent="0.2">
      <c r="C477" s="8"/>
      <c r="D477" s="136">
        <v>0</v>
      </c>
      <c r="E477" s="45"/>
      <c r="F477" s="45"/>
      <c r="G477" s="45"/>
    </row>
    <row r="478" spans="1:14" ht="17.25" customHeight="1" x14ac:dyDescent="0.2">
      <c r="A478" s="34"/>
      <c r="F478" s="142" t="s">
        <v>348</v>
      </c>
      <c r="G478" s="262">
        <f>C481*I76*C481*0.5</f>
        <v>1.5311250000000001</v>
      </c>
      <c r="H478" s="262"/>
      <c r="I478" s="47" t="s">
        <v>349</v>
      </c>
    </row>
    <row r="479" spans="1:14" ht="17.25" customHeight="1" x14ac:dyDescent="0.2">
      <c r="A479" s="10"/>
      <c r="B479" s="10"/>
      <c r="C479" s="8"/>
      <c r="F479" s="47"/>
      <c r="G479" s="47"/>
      <c r="I479" s="47" t="s">
        <v>350</v>
      </c>
    </row>
    <row r="480" spans="1:14" ht="17.25" customHeight="1" thickBot="1" x14ac:dyDescent="0.25">
      <c r="B480" s="10"/>
      <c r="C480" s="10"/>
    </row>
    <row r="481" spans="1:15" ht="17.25" customHeight="1" thickBot="1" x14ac:dyDescent="0.25">
      <c r="B481" s="28" t="s">
        <v>199</v>
      </c>
      <c r="C481" s="135">
        <f>I75</f>
        <v>1.5</v>
      </c>
      <c r="F481" s="9" t="s">
        <v>351</v>
      </c>
      <c r="G481" s="10"/>
      <c r="N481" s="10" t="s">
        <v>571</v>
      </c>
      <c r="O481" s="234">
        <f>3.25*1.7*C481</f>
        <v>8.2874999999999996</v>
      </c>
    </row>
    <row r="482" spans="1:15" ht="17.25" customHeight="1" thickBot="1" x14ac:dyDescent="0.25">
      <c r="C482" s="10"/>
      <c r="F482" s="9" t="s">
        <v>353</v>
      </c>
      <c r="G482" s="10"/>
      <c r="H482" s="10"/>
      <c r="I482" s="10"/>
      <c r="J482" s="10"/>
      <c r="K482" s="10"/>
      <c r="N482" s="10" t="s">
        <v>573</v>
      </c>
      <c r="O482" s="234">
        <f>O481*I76</f>
        <v>11.279287499999999</v>
      </c>
    </row>
    <row r="483" spans="1:15" ht="17.25" customHeight="1" thickBot="1" x14ac:dyDescent="0.25">
      <c r="A483" s="10"/>
      <c r="B483" s="10"/>
      <c r="C483" s="10"/>
      <c r="D483" s="10"/>
      <c r="E483" s="10"/>
      <c r="F483" s="47"/>
      <c r="G483" s="143" t="s">
        <v>352</v>
      </c>
      <c r="H483" s="303">
        <f>O484</f>
        <v>0.54687454545454539</v>
      </c>
      <c r="I483" s="303"/>
      <c r="J483" s="47"/>
      <c r="K483" s="47"/>
      <c r="L483" s="10"/>
      <c r="M483" s="10"/>
      <c r="N483" s="10" t="s">
        <v>572</v>
      </c>
      <c r="O483" s="228">
        <f>$I$96*$I$97</f>
        <v>20.625</v>
      </c>
    </row>
    <row r="484" spans="1:15" s="47" customFormat="1" ht="17.25" customHeight="1" thickBot="1" x14ac:dyDescent="0.25">
      <c r="N484" s="10" t="s">
        <v>574</v>
      </c>
      <c r="O484" s="234">
        <f>O482/O483</f>
        <v>0.54687454545454539</v>
      </c>
    </row>
    <row r="485" spans="1:15" s="47" customFormat="1" ht="17.25" customHeight="1" x14ac:dyDescent="0.2">
      <c r="O485" s="235"/>
    </row>
    <row r="486" spans="1:15" s="47" customFormat="1" ht="17.25" customHeight="1" x14ac:dyDescent="0.2">
      <c r="D486" s="136">
        <f>C481*I76</f>
        <v>2.0415000000000001</v>
      </c>
      <c r="O486" s="235"/>
    </row>
    <row r="487" spans="1:15" ht="17.25" customHeight="1" x14ac:dyDescent="0.2">
      <c r="C487" s="8"/>
    </row>
    <row r="488" spans="1:15" ht="17.25" customHeight="1" x14ac:dyDescent="0.2">
      <c r="A488" s="27" t="s">
        <v>328</v>
      </c>
      <c r="B488" s="10"/>
      <c r="C488" s="10"/>
      <c r="D488" s="10"/>
      <c r="E488" s="10"/>
      <c r="F488" s="10"/>
      <c r="G488" s="10"/>
      <c r="H488" s="10"/>
      <c r="I488" s="3"/>
      <c r="J488" s="10"/>
      <c r="L488" s="3"/>
    </row>
    <row r="489" spans="1:15" ht="17.25" customHeight="1" x14ac:dyDescent="0.2">
      <c r="A489" s="41" t="s">
        <v>11</v>
      </c>
      <c r="B489" s="134">
        <v>0</v>
      </c>
      <c r="C489" s="41" t="s">
        <v>6</v>
      </c>
      <c r="D489" s="87">
        <f>D486</f>
        <v>2.0415000000000001</v>
      </c>
      <c r="E489" s="42"/>
      <c r="F489" s="42"/>
      <c r="G489" s="42"/>
      <c r="H489" s="41" t="s">
        <v>7</v>
      </c>
      <c r="I489" s="134">
        <f>IF( B489-B490=0, 0, (D489-D490)/(B489-B490))</f>
        <v>-1.361</v>
      </c>
      <c r="J489" s="10"/>
      <c r="K489" s="3"/>
      <c r="L489" s="3"/>
    </row>
    <row r="490" spans="1:15" ht="17.25" customHeight="1" x14ac:dyDescent="0.2">
      <c r="A490" s="41" t="s">
        <v>11</v>
      </c>
      <c r="B490" s="87">
        <f>B489+C481</f>
        <v>1.5</v>
      </c>
      <c r="C490" s="41" t="s">
        <v>6</v>
      </c>
      <c r="D490" s="87">
        <f>D477</f>
        <v>0</v>
      </c>
      <c r="E490" s="42"/>
      <c r="F490" s="42"/>
      <c r="G490" s="42"/>
      <c r="H490" s="41" t="s">
        <v>8</v>
      </c>
      <c r="I490" s="134">
        <f>D489-I489*B489</f>
        <v>2.0415000000000001</v>
      </c>
      <c r="J490" s="10"/>
      <c r="K490" s="3"/>
      <c r="L490" s="3"/>
    </row>
    <row r="491" spans="1:15" ht="17.25" customHeight="1" x14ac:dyDescent="0.2">
      <c r="C491" s="8"/>
    </row>
    <row r="492" spans="1:15" ht="17.25" customHeight="1" x14ac:dyDescent="0.2">
      <c r="A492" s="261" t="s">
        <v>325</v>
      </c>
      <c r="B492" s="261"/>
      <c r="C492" s="261"/>
      <c r="D492" s="261"/>
      <c r="E492" s="261"/>
      <c r="F492" s="261"/>
      <c r="G492" s="261"/>
      <c r="H492" s="261"/>
      <c r="I492" s="261"/>
      <c r="J492" s="261"/>
      <c r="K492" s="261"/>
      <c r="L492" s="261"/>
      <c r="M492" s="261"/>
    </row>
    <row r="493" spans="1:15" ht="17.25" customHeight="1" x14ac:dyDescent="0.2">
      <c r="C493" s="8"/>
    </row>
    <row r="494" spans="1:15" ht="17.25" customHeight="1" x14ac:dyDescent="0.2">
      <c r="C494" s="8"/>
    </row>
    <row r="495" spans="1:15" ht="17.25" customHeight="1" x14ac:dyDescent="0.2">
      <c r="A495" s="3"/>
      <c r="B495" s="10"/>
      <c r="C495" s="10"/>
      <c r="D495" s="10"/>
      <c r="E495" s="10"/>
      <c r="F495" s="10"/>
      <c r="G495" s="10"/>
      <c r="H495" s="10"/>
      <c r="I495" s="10"/>
      <c r="J495" s="10"/>
      <c r="K495" s="10"/>
      <c r="L495" s="3"/>
      <c r="M495" s="3"/>
    </row>
    <row r="496" spans="1:15" ht="17.25" customHeight="1" x14ac:dyDescent="0.2">
      <c r="A496" s="10"/>
      <c r="B496" s="10"/>
      <c r="C496" s="10"/>
      <c r="D496" s="10"/>
      <c r="E496" s="10"/>
      <c r="F496" s="10"/>
      <c r="G496" s="10"/>
      <c r="H496" s="10"/>
      <c r="I496" s="10"/>
      <c r="J496" s="10"/>
      <c r="K496" s="10"/>
      <c r="L496" s="10"/>
      <c r="M496" s="3"/>
    </row>
    <row r="497" spans="1:20" ht="17.25" customHeight="1" x14ac:dyDescent="0.2">
      <c r="A497" s="10"/>
      <c r="B497" s="10"/>
      <c r="C497" s="10"/>
      <c r="D497" s="10"/>
      <c r="E497" s="10"/>
      <c r="F497" s="10"/>
      <c r="G497" s="10"/>
      <c r="H497" s="10"/>
      <c r="I497" s="10"/>
      <c r="J497" s="10"/>
      <c r="K497" s="10"/>
      <c r="L497" s="10"/>
      <c r="M497" s="3"/>
    </row>
    <row r="498" spans="1:20" ht="17.25" customHeight="1" x14ac:dyDescent="0.2">
      <c r="A498" s="10"/>
      <c r="B498" s="10"/>
      <c r="C498" s="10"/>
      <c r="D498" s="10"/>
      <c r="E498" s="10"/>
      <c r="F498" s="10"/>
      <c r="G498" s="10"/>
      <c r="H498" s="10"/>
      <c r="I498" s="10"/>
      <c r="J498" s="10"/>
      <c r="K498" s="10"/>
      <c r="L498" s="10"/>
      <c r="M498" s="3"/>
    </row>
    <row r="499" spans="1:20" ht="17.25" customHeight="1" x14ac:dyDescent="0.2">
      <c r="C499" s="8"/>
    </row>
    <row r="500" spans="1:20" ht="17.25" customHeight="1" x14ac:dyDescent="0.2">
      <c r="C500" s="8"/>
    </row>
    <row r="501" spans="1:20" ht="17.25" customHeight="1" x14ac:dyDescent="0.2">
      <c r="C501" s="8"/>
    </row>
    <row r="502" spans="1:20" ht="17.25" customHeight="1" x14ac:dyDescent="0.2">
      <c r="C502" s="8"/>
      <c r="I502" s="10"/>
      <c r="J502" s="10"/>
      <c r="K502" s="10"/>
      <c r="L502" s="10"/>
      <c r="M502" s="10"/>
    </row>
    <row r="503" spans="1:20" ht="17.25" customHeight="1" x14ac:dyDescent="0.2">
      <c r="C503" s="8"/>
      <c r="I503" s="10"/>
      <c r="J503" s="10"/>
      <c r="K503" s="10"/>
      <c r="L503" s="10"/>
      <c r="M503" s="10"/>
    </row>
    <row r="504" spans="1:20" ht="17.25" customHeight="1" x14ac:dyDescent="0.2">
      <c r="C504" s="8"/>
      <c r="I504" s="10"/>
      <c r="J504" s="10"/>
      <c r="K504" s="10"/>
      <c r="L504" s="10"/>
      <c r="M504" s="10"/>
    </row>
    <row r="505" spans="1:20" ht="17.25" customHeight="1" x14ac:dyDescent="0.2">
      <c r="C505" s="8"/>
      <c r="I505" s="10"/>
      <c r="J505" s="10"/>
      <c r="K505" s="10"/>
      <c r="L505" s="10"/>
      <c r="M505" s="10"/>
    </row>
    <row r="506" spans="1:20" ht="17.25" customHeight="1" x14ac:dyDescent="0.2">
      <c r="C506" s="8"/>
      <c r="I506" s="10"/>
      <c r="J506" s="10"/>
      <c r="K506" s="10"/>
      <c r="L506" s="10"/>
      <c r="M506" s="10"/>
    </row>
    <row r="507" spans="1:20" ht="17.25" customHeight="1" x14ac:dyDescent="0.2">
      <c r="C507" s="8"/>
      <c r="I507" s="10"/>
      <c r="J507" s="10"/>
      <c r="K507" s="10"/>
      <c r="L507" s="10"/>
      <c r="M507" s="10"/>
    </row>
    <row r="508" spans="1:20" ht="17.25" customHeight="1" x14ac:dyDescent="0.2">
      <c r="C508" s="8"/>
      <c r="I508" s="10"/>
      <c r="J508" s="10"/>
      <c r="K508" s="10"/>
      <c r="L508" s="10"/>
      <c r="M508" s="10"/>
    </row>
    <row r="509" spans="1:20" ht="17.25" customHeight="1" x14ac:dyDescent="0.2">
      <c r="C509" s="8"/>
      <c r="I509" s="10"/>
      <c r="J509" s="10"/>
      <c r="K509" s="10"/>
      <c r="L509" s="10"/>
      <c r="M509" s="10"/>
    </row>
    <row r="510" spans="1:20" ht="17.25" customHeight="1" x14ac:dyDescent="0.2">
      <c r="C510" s="8"/>
      <c r="I510" s="10"/>
      <c r="J510" s="10"/>
      <c r="K510" s="10"/>
      <c r="L510" s="10"/>
      <c r="M510" s="10"/>
    </row>
    <row r="511" spans="1:20" ht="17.25" customHeight="1" x14ac:dyDescent="0.2">
      <c r="C511" s="8"/>
      <c r="I511" s="10"/>
      <c r="J511" s="10"/>
      <c r="K511" s="10"/>
      <c r="L511" s="10"/>
      <c r="M511" s="10"/>
    </row>
    <row r="512" spans="1:20" ht="17.25" customHeight="1" x14ac:dyDescent="0.2">
      <c r="C512" s="8"/>
      <c r="I512" s="10"/>
      <c r="J512" s="10"/>
      <c r="K512" s="10"/>
      <c r="L512" s="10"/>
      <c r="M512" s="10"/>
      <c r="Q512" s="3"/>
      <c r="R512" s="3"/>
      <c r="S512" s="3"/>
      <c r="T512" s="3"/>
    </row>
    <row r="513" spans="1:20" ht="9" customHeight="1" x14ac:dyDescent="0.2">
      <c r="C513" s="8"/>
      <c r="I513" s="10"/>
      <c r="J513" s="10"/>
      <c r="K513" s="10"/>
      <c r="L513" s="10"/>
      <c r="M513" s="10"/>
      <c r="Q513" s="3"/>
      <c r="R513" s="3"/>
      <c r="S513" s="3"/>
      <c r="T513" s="3"/>
    </row>
    <row r="514" spans="1:20" ht="17.25" customHeight="1" x14ac:dyDescent="0.2">
      <c r="A514" s="13" t="s">
        <v>459</v>
      </c>
      <c r="B514" s="7"/>
      <c r="C514" s="7"/>
      <c r="D514" s="8"/>
      <c r="E514" s="8"/>
      <c r="F514" s="8"/>
      <c r="G514" s="8"/>
      <c r="I514" s="10"/>
      <c r="J514" s="10"/>
      <c r="K514" s="10"/>
      <c r="L514" s="10"/>
      <c r="M514" s="10"/>
    </row>
    <row r="515" spans="1:20" s="3" customFormat="1" ht="17.25" customHeight="1" x14ac:dyDescent="0.2">
      <c r="A515" s="3" t="s">
        <v>355</v>
      </c>
      <c r="O515" s="232"/>
      <c r="Q515" s="10"/>
      <c r="R515" s="10"/>
      <c r="S515" s="10"/>
      <c r="T515" s="10"/>
    </row>
    <row r="516" spans="1:20" s="3" customFormat="1" ht="17.25" customHeight="1" x14ac:dyDescent="0.2">
      <c r="A516" s="3" t="s">
        <v>356</v>
      </c>
      <c r="O516" s="232"/>
      <c r="Q516" s="10"/>
      <c r="R516" s="10"/>
      <c r="S516" s="10"/>
      <c r="T516" s="10"/>
    </row>
    <row r="517" spans="1:20" s="3" customFormat="1" ht="17.25" customHeight="1" x14ac:dyDescent="0.2">
      <c r="A517" s="3" t="s">
        <v>358</v>
      </c>
      <c r="O517" s="232"/>
      <c r="Q517" s="10"/>
      <c r="R517" s="10"/>
      <c r="S517" s="10"/>
      <c r="T517" s="10"/>
    </row>
    <row r="518" spans="1:20" s="3" customFormat="1" ht="17.25" customHeight="1" x14ac:dyDescent="0.2">
      <c r="O518" s="232"/>
      <c r="Q518" s="10"/>
      <c r="R518" s="10"/>
      <c r="S518" s="10"/>
      <c r="T518" s="10"/>
    </row>
    <row r="519" spans="1:20" ht="17.25" customHeight="1" x14ac:dyDescent="0.2">
      <c r="A519" s="27" t="s">
        <v>327</v>
      </c>
      <c r="G519" s="39"/>
      <c r="M519" s="10"/>
    </row>
    <row r="520" spans="1:20" ht="17.25" customHeight="1" x14ac:dyDescent="0.2">
      <c r="C520" s="8"/>
      <c r="D520" s="136">
        <v>0</v>
      </c>
      <c r="E520" s="45"/>
      <c r="F520" s="45"/>
      <c r="G520" s="45"/>
      <c r="M520" s="10"/>
    </row>
    <row r="521" spans="1:20" ht="17.25" customHeight="1" x14ac:dyDescent="0.2">
      <c r="A521" s="34"/>
      <c r="F521" s="142" t="s">
        <v>407</v>
      </c>
      <c r="G521" s="262">
        <f>D529*C524*0.5</f>
        <v>3.125</v>
      </c>
      <c r="H521" s="262"/>
      <c r="I521" s="47" t="s">
        <v>349</v>
      </c>
      <c r="M521" s="10"/>
    </row>
    <row r="522" spans="1:20" ht="17.25" customHeight="1" x14ac:dyDescent="0.2">
      <c r="A522" s="10"/>
      <c r="B522" s="10"/>
      <c r="C522" s="8"/>
      <c r="F522" s="47"/>
      <c r="G522" s="47"/>
      <c r="I522" s="47" t="s">
        <v>350</v>
      </c>
      <c r="M522" s="10"/>
      <c r="Q522" s="47"/>
      <c r="R522" s="47"/>
      <c r="S522" s="47"/>
      <c r="T522" s="47"/>
    </row>
    <row r="523" spans="1:20" ht="17.25" customHeight="1" x14ac:dyDescent="0.2">
      <c r="B523" s="10"/>
      <c r="C523" s="10"/>
      <c r="M523" s="10"/>
      <c r="N523" s="10" t="s">
        <v>494</v>
      </c>
      <c r="O523" s="228">
        <f>C524*1.7*1.65</f>
        <v>7.0124999999999993</v>
      </c>
      <c r="Q523" s="47"/>
      <c r="R523" s="47"/>
      <c r="S523" s="47"/>
      <c r="T523" s="47"/>
    </row>
    <row r="524" spans="1:20" ht="17.25" customHeight="1" x14ac:dyDescent="0.2">
      <c r="B524" s="28" t="s">
        <v>408</v>
      </c>
      <c r="C524" s="135">
        <f>I79</f>
        <v>2.5</v>
      </c>
      <c r="F524" s="9" t="s">
        <v>357</v>
      </c>
      <c r="G524" s="10"/>
      <c r="M524" s="10"/>
      <c r="N524" s="10" t="s">
        <v>577</v>
      </c>
      <c r="O524" s="228">
        <f>O523*I80</f>
        <v>7.0124999999999993</v>
      </c>
      <c r="Q524" s="47"/>
      <c r="R524" s="47"/>
      <c r="S524" s="47"/>
      <c r="T524" s="47"/>
    </row>
    <row r="525" spans="1:20" ht="17.25" customHeight="1" x14ac:dyDescent="0.2">
      <c r="C525" s="10"/>
      <c r="F525" s="9" t="s">
        <v>353</v>
      </c>
      <c r="G525" s="10"/>
      <c r="H525" s="10"/>
      <c r="I525" s="10"/>
      <c r="J525" s="10"/>
      <c r="K525" s="10"/>
      <c r="M525" s="10"/>
      <c r="N525" s="10" t="s">
        <v>575</v>
      </c>
      <c r="O525" s="228">
        <f>O483</f>
        <v>20.625</v>
      </c>
    </row>
    <row r="526" spans="1:20" ht="17.25" customHeight="1" x14ac:dyDescent="0.2">
      <c r="A526" s="10"/>
      <c r="B526" s="10"/>
      <c r="C526" s="10"/>
      <c r="D526" s="10"/>
      <c r="E526" s="10"/>
      <c r="F526" s="47"/>
      <c r="G526" s="143" t="s">
        <v>352</v>
      </c>
      <c r="H526" s="303">
        <f>O526</f>
        <v>0.33999999999999997</v>
      </c>
      <c r="I526" s="303"/>
      <c r="J526" s="47"/>
      <c r="K526" s="47"/>
      <c r="L526" s="10"/>
      <c r="M526" s="10"/>
      <c r="N526" s="10" t="s">
        <v>576</v>
      </c>
      <c r="O526" s="228">
        <f>O524/O525</f>
        <v>0.33999999999999997</v>
      </c>
    </row>
    <row r="527" spans="1:20" s="47" customFormat="1" ht="17.25" customHeight="1" x14ac:dyDescent="0.2">
      <c r="O527" s="235"/>
    </row>
    <row r="528" spans="1:20" s="47" customFormat="1" ht="17.25" customHeight="1" x14ac:dyDescent="0.2">
      <c r="O528" s="235"/>
    </row>
    <row r="529" spans="1:15" s="47" customFormat="1" ht="17.25" customHeight="1" x14ac:dyDescent="0.2">
      <c r="D529" s="136">
        <f>C524*I80</f>
        <v>2.5</v>
      </c>
      <c r="O529" s="235"/>
    </row>
    <row r="530" spans="1:15" ht="14.25" customHeight="1" x14ac:dyDescent="0.2">
      <c r="C530" s="8"/>
      <c r="M530" s="10"/>
    </row>
    <row r="531" spans="1:15" ht="17.25" customHeight="1" x14ac:dyDescent="0.2">
      <c r="A531" s="27" t="s">
        <v>328</v>
      </c>
      <c r="B531" s="10"/>
      <c r="C531" s="10"/>
      <c r="D531" s="10"/>
      <c r="E531" s="10"/>
      <c r="F531" s="10"/>
      <c r="G531" s="10"/>
      <c r="H531" s="10"/>
      <c r="I531" s="3"/>
      <c r="J531" s="10"/>
      <c r="L531" s="3"/>
      <c r="M531" s="10"/>
    </row>
    <row r="532" spans="1:15" ht="17.25" customHeight="1" x14ac:dyDescent="0.2">
      <c r="A532" s="41" t="s">
        <v>11</v>
      </c>
      <c r="B532" s="134">
        <v>0</v>
      </c>
      <c r="C532" s="41" t="s">
        <v>6</v>
      </c>
      <c r="D532" s="87">
        <f>D529</f>
        <v>2.5</v>
      </c>
      <c r="E532" s="42"/>
      <c r="F532" s="42"/>
      <c r="G532" s="42"/>
      <c r="H532" s="41" t="s">
        <v>7</v>
      </c>
      <c r="I532" s="134">
        <f>(D532-D533)/(B532-B533)</f>
        <v>-1</v>
      </c>
      <c r="J532" s="10"/>
      <c r="K532" s="3"/>
      <c r="L532" s="3"/>
      <c r="M532" s="10"/>
    </row>
    <row r="533" spans="1:15" ht="17.25" customHeight="1" x14ac:dyDescent="0.2">
      <c r="A533" s="41" t="s">
        <v>11</v>
      </c>
      <c r="B533" s="87">
        <f>B532+C524</f>
        <v>2.5</v>
      </c>
      <c r="C533" s="41" t="s">
        <v>6</v>
      </c>
      <c r="D533" s="87">
        <f>D520</f>
        <v>0</v>
      </c>
      <c r="E533" s="42"/>
      <c r="F533" s="42"/>
      <c r="G533" s="42"/>
      <c r="H533" s="41" t="s">
        <v>8</v>
      </c>
      <c r="I533" s="134">
        <f>D532-I532*B532</f>
        <v>2.5</v>
      </c>
      <c r="J533" s="10"/>
      <c r="K533" s="3"/>
      <c r="L533" s="3"/>
      <c r="M533" s="10"/>
    </row>
    <row r="534" spans="1:15" ht="12.75" customHeight="1" x14ac:dyDescent="0.2">
      <c r="C534" s="8"/>
    </row>
    <row r="535" spans="1:15" ht="17.25" customHeight="1" x14ac:dyDescent="0.2">
      <c r="A535" s="261" t="s">
        <v>325</v>
      </c>
      <c r="B535" s="261"/>
      <c r="C535" s="261"/>
      <c r="D535" s="261"/>
      <c r="E535" s="261"/>
      <c r="F535" s="261"/>
      <c r="G535" s="261"/>
      <c r="H535" s="261"/>
      <c r="I535" s="261"/>
      <c r="J535" s="261"/>
      <c r="K535" s="261"/>
      <c r="L535" s="261"/>
      <c r="M535" s="261"/>
    </row>
    <row r="536" spans="1:15" ht="17.25" customHeight="1" x14ac:dyDescent="0.2">
      <c r="A536" s="34"/>
      <c r="H536" s="28"/>
    </row>
    <row r="537" spans="1:15" ht="17.25" customHeight="1" x14ac:dyDescent="0.2">
      <c r="C537" s="8"/>
    </row>
    <row r="538" spans="1:15" ht="17.25" customHeight="1" x14ac:dyDescent="0.2">
      <c r="A538" s="46"/>
      <c r="C538" s="8"/>
    </row>
    <row r="539" spans="1:15" ht="17.25" customHeight="1" x14ac:dyDescent="0.2">
      <c r="A539" s="46"/>
      <c r="C539" s="8"/>
    </row>
    <row r="540" spans="1:15" ht="17.25" customHeight="1" x14ac:dyDescent="0.2">
      <c r="A540" s="46"/>
      <c r="C540" s="8"/>
    </row>
    <row r="541" spans="1:15" ht="17.25" customHeight="1" x14ac:dyDescent="0.2">
      <c r="A541" s="46"/>
      <c r="C541" s="8"/>
    </row>
    <row r="542" spans="1:15" ht="17.25" customHeight="1" x14ac:dyDescent="0.2">
      <c r="A542" s="46"/>
      <c r="C542" s="8"/>
    </row>
    <row r="543" spans="1:15" ht="17.25" customHeight="1" x14ac:dyDescent="0.2">
      <c r="A543" s="46"/>
      <c r="C543" s="8"/>
    </row>
    <row r="544" spans="1:15" ht="17.25" customHeight="1" x14ac:dyDescent="0.2">
      <c r="A544" s="46"/>
      <c r="C544" s="8"/>
    </row>
    <row r="545" spans="1:14" ht="17.25" customHeight="1" x14ac:dyDescent="0.2">
      <c r="A545" s="46"/>
      <c r="C545" s="8"/>
    </row>
    <row r="546" spans="1:14" ht="17.25" customHeight="1" x14ac:dyDescent="0.2">
      <c r="A546" s="46"/>
      <c r="C546" s="8"/>
    </row>
    <row r="547" spans="1:14" ht="17.25" customHeight="1" x14ac:dyDescent="0.2">
      <c r="A547" s="46"/>
      <c r="C547" s="8"/>
    </row>
    <row r="548" spans="1:14" ht="17.25" customHeight="1" x14ac:dyDescent="0.2">
      <c r="C548" s="8"/>
    </row>
    <row r="549" spans="1:14" ht="17.25" customHeight="1" x14ac:dyDescent="0.2">
      <c r="C549" s="8"/>
    </row>
    <row r="550" spans="1:14" ht="17.25" customHeight="1" x14ac:dyDescent="0.2">
      <c r="C550" s="8"/>
    </row>
    <row r="551" spans="1:14" ht="17.25" customHeight="1" x14ac:dyDescent="0.2">
      <c r="C551" s="8"/>
    </row>
    <row r="552" spans="1:14" ht="17.25" customHeight="1" x14ac:dyDescent="0.2">
      <c r="C552" s="117"/>
    </row>
    <row r="553" spans="1:14" ht="17.25" customHeight="1" x14ac:dyDescent="0.2">
      <c r="C553" s="8"/>
    </row>
    <row r="554" spans="1:14" ht="17.25" customHeight="1" x14ac:dyDescent="0.2">
      <c r="A554" s="48"/>
      <c r="B554" s="5"/>
      <c r="C554" s="5"/>
      <c r="D554" s="5"/>
      <c r="E554" s="5"/>
      <c r="F554" s="5"/>
      <c r="G554" s="5"/>
      <c r="H554" s="5"/>
      <c r="I554" s="5"/>
      <c r="J554" s="5"/>
      <c r="K554" s="5"/>
      <c r="L554" s="5"/>
      <c r="M554" s="5"/>
      <c r="N554" s="49"/>
    </row>
    <row r="555" spans="1:14" ht="17.25" customHeight="1" x14ac:dyDescent="0.2">
      <c r="A555" s="48"/>
      <c r="B555" s="5"/>
      <c r="C555" s="5"/>
      <c r="D555" s="5"/>
      <c r="E555" s="5"/>
      <c r="F555" s="5"/>
      <c r="G555" s="5"/>
      <c r="H555" s="5"/>
      <c r="I555" s="5"/>
      <c r="J555" s="5"/>
      <c r="K555" s="5"/>
      <c r="L555" s="5"/>
      <c r="M555" s="5"/>
      <c r="N555" s="49"/>
    </row>
    <row r="556" spans="1:14" ht="17.25" customHeight="1" x14ac:dyDescent="0.2">
      <c r="A556" s="48"/>
      <c r="B556" s="5"/>
      <c r="C556" s="5"/>
      <c r="D556" s="5"/>
      <c r="E556" s="5"/>
      <c r="F556" s="5"/>
      <c r="G556" s="5"/>
      <c r="H556" s="5"/>
      <c r="I556" s="5"/>
      <c r="J556" s="5"/>
      <c r="K556" s="5"/>
      <c r="L556" s="5"/>
      <c r="M556" s="5"/>
      <c r="N556" s="49"/>
    </row>
    <row r="557" spans="1:14" ht="17.25" customHeight="1" x14ac:dyDescent="0.2">
      <c r="A557" s="13" t="s">
        <v>460</v>
      </c>
      <c r="B557" s="7"/>
      <c r="C557" s="7"/>
      <c r="D557" s="8"/>
      <c r="E557" s="8"/>
      <c r="F557" s="8"/>
      <c r="G557" s="8"/>
    </row>
    <row r="558" spans="1:14" ht="17.25" customHeight="1" x14ac:dyDescent="0.2">
      <c r="A558" s="50" t="s">
        <v>439</v>
      </c>
      <c r="B558" s="5"/>
      <c r="C558" s="5"/>
      <c r="D558" s="5"/>
      <c r="E558" s="5"/>
      <c r="F558" s="5"/>
      <c r="G558" s="5"/>
      <c r="H558" s="5"/>
      <c r="I558" s="5"/>
      <c r="J558" s="5"/>
      <c r="K558" s="5"/>
      <c r="L558" s="5"/>
      <c r="M558" s="5"/>
    </row>
    <row r="559" spans="1:14" ht="17.25" customHeight="1" x14ac:dyDescent="0.2">
      <c r="A559" s="50" t="s">
        <v>522</v>
      </c>
      <c r="B559" s="5"/>
      <c r="C559" s="5"/>
      <c r="D559" s="5"/>
      <c r="E559" s="5"/>
      <c r="F559" s="148" t="s">
        <v>523</v>
      </c>
      <c r="G559" s="281">
        <v>100</v>
      </c>
      <c r="H559" s="281"/>
      <c r="I559" s="5"/>
      <c r="J559" s="5"/>
      <c r="K559" s="5"/>
      <c r="L559" s="5"/>
      <c r="M559" s="5"/>
    </row>
    <row r="560" spans="1:14" ht="17.25" customHeight="1" x14ac:dyDescent="0.2">
      <c r="A560" s="50"/>
      <c r="B560" s="5"/>
      <c r="C560" s="5"/>
      <c r="D560" s="5"/>
      <c r="E560" s="5"/>
      <c r="F560" s="5"/>
      <c r="G560" s="5"/>
      <c r="H560" s="5"/>
      <c r="I560" s="5"/>
      <c r="J560" s="5"/>
      <c r="K560" s="5"/>
      <c r="L560" s="5"/>
      <c r="M560" s="5"/>
    </row>
    <row r="561" spans="1:13" ht="17.25" customHeight="1" x14ac:dyDescent="0.2">
      <c r="A561" s="48"/>
      <c r="B561" s="5"/>
      <c r="C561" s="5"/>
      <c r="D561" s="5"/>
      <c r="E561" s="5"/>
      <c r="F561" s="5"/>
      <c r="G561" s="5"/>
      <c r="H561" s="5"/>
      <c r="I561" s="5"/>
      <c r="J561" s="5"/>
      <c r="K561" s="5"/>
      <c r="L561" s="5"/>
      <c r="M561" s="5"/>
    </row>
    <row r="562" spans="1:13" ht="17.25" customHeight="1" x14ac:dyDescent="0.2">
      <c r="A562" s="48"/>
      <c r="B562" s="5"/>
      <c r="C562" s="5"/>
      <c r="D562" s="5"/>
      <c r="E562" s="5"/>
      <c r="F562" s="5"/>
      <c r="G562" s="5"/>
      <c r="H562" s="5"/>
      <c r="I562" s="5"/>
      <c r="J562" s="5"/>
      <c r="K562" s="5"/>
      <c r="L562" s="5"/>
      <c r="M562" s="5"/>
    </row>
    <row r="563" spans="1:13" ht="17.25" customHeight="1" x14ac:dyDescent="0.2">
      <c r="A563" s="48"/>
      <c r="B563" s="5"/>
      <c r="C563" s="5"/>
      <c r="D563" s="5"/>
      <c r="E563" s="5"/>
      <c r="F563" s="5"/>
      <c r="G563" s="5"/>
      <c r="H563" s="5"/>
      <c r="I563" s="5"/>
      <c r="J563" s="5"/>
      <c r="K563" s="5"/>
      <c r="L563" s="5"/>
      <c r="M563" s="5"/>
    </row>
    <row r="564" spans="1:13" ht="17.25" customHeight="1" x14ac:dyDescent="0.2">
      <c r="A564" s="48"/>
      <c r="B564" s="5"/>
      <c r="C564" s="5"/>
      <c r="D564" s="5"/>
      <c r="E564" s="5"/>
      <c r="F564" s="5"/>
      <c r="G564" s="5"/>
      <c r="H564" s="5"/>
      <c r="I564" s="5"/>
      <c r="J564" s="5"/>
      <c r="K564" s="5"/>
      <c r="L564" s="5"/>
      <c r="M564" s="5"/>
    </row>
    <row r="565" spans="1:13" ht="17.25" customHeight="1" x14ac:dyDescent="0.2">
      <c r="A565" s="48"/>
      <c r="B565" s="5"/>
      <c r="C565" s="5"/>
      <c r="D565" s="5"/>
      <c r="E565" s="5"/>
      <c r="F565" s="5"/>
      <c r="G565" s="5"/>
      <c r="H565" s="5"/>
      <c r="I565" s="5"/>
      <c r="J565" s="5"/>
      <c r="K565" s="5"/>
      <c r="L565" s="5"/>
      <c r="M565" s="5"/>
    </row>
    <row r="566" spans="1:13" ht="17.25" customHeight="1" x14ac:dyDescent="0.2">
      <c r="A566" s="48"/>
      <c r="B566" s="5"/>
      <c r="C566" s="5"/>
      <c r="D566" s="5"/>
      <c r="E566" s="5"/>
      <c r="F566" s="5"/>
      <c r="G566" s="5"/>
      <c r="H566" s="5"/>
      <c r="I566" s="5"/>
      <c r="J566" s="5"/>
      <c r="K566" s="5"/>
      <c r="L566" s="5"/>
      <c r="M566" s="5"/>
    </row>
    <row r="567" spans="1:13" ht="17.25" customHeight="1" x14ac:dyDescent="0.2">
      <c r="A567" s="48"/>
      <c r="B567" s="5"/>
      <c r="C567" s="5"/>
      <c r="D567" s="5"/>
      <c r="E567" s="5"/>
      <c r="F567" s="5"/>
      <c r="G567" s="5"/>
      <c r="H567" s="5"/>
      <c r="I567" s="5"/>
      <c r="J567" s="5"/>
      <c r="K567" s="5"/>
      <c r="L567" s="5"/>
      <c r="M567" s="5"/>
    </row>
    <row r="568" spans="1:13" ht="17.25" customHeight="1" x14ac:dyDescent="0.2">
      <c r="A568" s="48"/>
      <c r="B568" s="5"/>
      <c r="C568" s="5"/>
      <c r="D568" s="5"/>
      <c r="E568" s="5"/>
      <c r="F568" s="5"/>
      <c r="G568" s="5"/>
      <c r="H568" s="5"/>
      <c r="I568" s="5"/>
      <c r="J568" s="5"/>
      <c r="K568" s="5"/>
      <c r="L568" s="5"/>
      <c r="M568" s="5"/>
    </row>
    <row r="569" spans="1:13" ht="17.25" customHeight="1" x14ac:dyDescent="0.2">
      <c r="A569" s="48"/>
      <c r="B569" s="5"/>
      <c r="C569" s="5"/>
      <c r="D569" s="5"/>
      <c r="E569" s="5"/>
      <c r="F569" s="5"/>
      <c r="G569" s="5"/>
      <c r="H569" s="5"/>
      <c r="I569" s="5"/>
      <c r="J569" s="5"/>
      <c r="K569" s="5"/>
      <c r="L569" s="5"/>
      <c r="M569" s="5"/>
    </row>
    <row r="570" spans="1:13" ht="17.25" customHeight="1" x14ac:dyDescent="0.2">
      <c r="A570" s="48"/>
      <c r="B570" s="5"/>
      <c r="C570" s="5"/>
      <c r="D570" s="5"/>
      <c r="E570" s="5"/>
      <c r="F570" s="5"/>
      <c r="G570" s="5"/>
      <c r="H570" s="5"/>
      <c r="I570" s="5"/>
      <c r="J570" s="5"/>
      <c r="K570" s="5"/>
      <c r="L570" s="5"/>
      <c r="M570" s="5"/>
    </row>
    <row r="571" spans="1:13" ht="17.25" customHeight="1" x14ac:dyDescent="0.2">
      <c r="A571" s="48"/>
      <c r="B571" s="5"/>
      <c r="C571" s="5"/>
      <c r="D571" s="5"/>
      <c r="E571" s="5"/>
      <c r="F571" s="5"/>
      <c r="G571" s="5"/>
      <c r="H571" s="5"/>
      <c r="I571" s="5"/>
      <c r="J571" s="5"/>
      <c r="K571" s="5"/>
      <c r="L571" s="5"/>
      <c r="M571" s="5"/>
    </row>
    <row r="572" spans="1:13" ht="17.25" customHeight="1" x14ac:dyDescent="0.2">
      <c r="A572" s="48"/>
      <c r="B572" s="5"/>
      <c r="C572" s="5"/>
      <c r="D572" s="5"/>
      <c r="E572" s="5"/>
      <c r="F572" s="5"/>
      <c r="G572" s="5"/>
      <c r="H572" s="5"/>
      <c r="I572" s="5"/>
      <c r="J572" s="5"/>
      <c r="K572" s="5"/>
      <c r="L572" s="5"/>
      <c r="M572" s="5"/>
    </row>
    <row r="573" spans="1:13" ht="17.25" customHeight="1" x14ac:dyDescent="0.2">
      <c r="A573" s="48"/>
      <c r="B573" s="5"/>
      <c r="C573" s="5"/>
      <c r="D573" s="5"/>
      <c r="E573" s="5"/>
      <c r="F573" s="5"/>
      <c r="G573" s="5"/>
      <c r="H573" s="5"/>
      <c r="I573" s="5"/>
      <c r="J573" s="5"/>
      <c r="K573" s="5"/>
      <c r="L573" s="5"/>
      <c r="M573" s="5"/>
    </row>
    <row r="574" spans="1:13" ht="17.25" customHeight="1" x14ac:dyDescent="0.2">
      <c r="A574" s="48"/>
      <c r="B574" s="5"/>
      <c r="C574" s="5"/>
      <c r="D574" s="5"/>
      <c r="E574" s="5"/>
      <c r="F574" s="5"/>
      <c r="G574" s="5"/>
      <c r="H574" s="5"/>
      <c r="I574" s="5"/>
      <c r="J574" s="5"/>
      <c r="K574" s="5"/>
      <c r="L574" s="5"/>
      <c r="M574" s="5"/>
    </row>
    <row r="575" spans="1:13" ht="17.25" customHeight="1" x14ac:dyDescent="0.2">
      <c r="A575" s="48"/>
      <c r="B575" s="5"/>
      <c r="C575" s="5"/>
      <c r="D575" s="5"/>
      <c r="E575" s="5"/>
      <c r="F575" s="5"/>
      <c r="G575" s="5"/>
      <c r="H575" s="5"/>
      <c r="I575" s="5"/>
      <c r="J575" s="5"/>
      <c r="K575" s="5"/>
      <c r="L575" s="5"/>
      <c r="M575" s="5"/>
    </row>
    <row r="576" spans="1:13" ht="17.25" customHeight="1" x14ac:dyDescent="0.2">
      <c r="A576" s="48"/>
      <c r="B576" s="5"/>
      <c r="C576" s="5"/>
      <c r="D576" s="5"/>
      <c r="E576" s="5"/>
      <c r="F576" s="5"/>
      <c r="G576" s="5"/>
      <c r="H576" s="5"/>
      <c r="I576" s="5"/>
      <c r="J576" s="5"/>
      <c r="K576" s="5"/>
      <c r="L576" s="5"/>
      <c r="M576" s="5"/>
    </row>
    <row r="577" spans="1:27" ht="17.25" customHeight="1" x14ac:dyDescent="0.2">
      <c r="A577" s="48"/>
      <c r="B577" s="5"/>
      <c r="C577" s="5"/>
      <c r="D577" s="5"/>
      <c r="E577" s="5"/>
      <c r="F577" s="5"/>
      <c r="G577" s="5"/>
      <c r="H577" s="5"/>
      <c r="I577" s="5"/>
      <c r="J577" s="5"/>
      <c r="K577" s="5"/>
      <c r="L577" s="5"/>
      <c r="M577" s="5"/>
    </row>
    <row r="578" spans="1:27" ht="17.25" customHeight="1" x14ac:dyDescent="0.2">
      <c r="A578" s="48"/>
      <c r="B578" s="5"/>
      <c r="C578" s="5"/>
      <c r="D578" s="5"/>
      <c r="E578" s="5"/>
      <c r="F578" s="5"/>
      <c r="G578" s="5"/>
      <c r="H578" s="5"/>
      <c r="I578" s="5"/>
      <c r="J578" s="5"/>
      <c r="K578" s="5"/>
      <c r="L578" s="5"/>
      <c r="M578" s="5"/>
    </row>
    <row r="579" spans="1:27" ht="17.25" customHeight="1" x14ac:dyDescent="0.2">
      <c r="A579" s="48"/>
      <c r="B579" s="5"/>
      <c r="C579" s="5"/>
      <c r="D579" s="5"/>
      <c r="E579" s="5"/>
      <c r="F579" s="5"/>
      <c r="G579" s="5"/>
      <c r="H579" s="5"/>
      <c r="I579" s="5"/>
      <c r="J579" s="5"/>
      <c r="K579" s="5"/>
      <c r="L579" s="5"/>
      <c r="M579" s="5"/>
    </row>
    <row r="580" spans="1:27" ht="17.25" customHeight="1" x14ac:dyDescent="0.2">
      <c r="A580" s="13" t="s">
        <v>524</v>
      </c>
      <c r="B580" s="5"/>
      <c r="C580" s="5"/>
      <c r="D580" s="5"/>
      <c r="E580" s="5"/>
      <c r="F580" s="5"/>
      <c r="G580" s="5"/>
      <c r="H580" s="5"/>
      <c r="I580" s="5"/>
      <c r="J580" s="5"/>
      <c r="K580" s="5"/>
      <c r="L580" s="5"/>
      <c r="M580" s="5"/>
    </row>
    <row r="581" spans="1:27" ht="17.25" customHeight="1" x14ac:dyDescent="0.2">
      <c r="A581" s="50" t="s">
        <v>525</v>
      </c>
      <c r="B581" s="209"/>
      <c r="C581" s="209"/>
      <c r="D581" s="209"/>
      <c r="E581" s="209"/>
      <c r="F581" s="209"/>
      <c r="G581" s="209"/>
      <c r="H581" s="209"/>
      <c r="I581" s="209"/>
      <c r="J581" s="209"/>
      <c r="K581" s="209"/>
      <c r="L581" s="209"/>
      <c r="M581" s="209"/>
      <c r="N581" s="209"/>
      <c r="O581" s="236"/>
      <c r="P581" s="209"/>
      <c r="Q581" s="209"/>
      <c r="R581" s="209"/>
      <c r="S581" s="209"/>
      <c r="T581" s="209"/>
      <c r="U581" s="209"/>
      <c r="V581" s="209"/>
      <c r="W581" s="209"/>
      <c r="X581" s="209"/>
      <c r="Y581" s="209"/>
      <c r="Z581" s="209"/>
      <c r="AA581" s="209"/>
    </row>
    <row r="582" spans="1:27" ht="17.25" customHeight="1" x14ac:dyDescent="0.2">
      <c r="A582" s="50" t="s">
        <v>526</v>
      </c>
      <c r="B582" s="209"/>
      <c r="C582" s="211" t="s">
        <v>527</v>
      </c>
      <c r="D582" s="260">
        <v>250</v>
      </c>
      <c r="E582" s="260"/>
      <c r="F582" s="10"/>
      <c r="G582" s="210"/>
      <c r="H582" s="10"/>
      <c r="I582" s="5"/>
      <c r="J582" s="5"/>
      <c r="K582" s="209"/>
      <c r="L582" s="209"/>
      <c r="M582" s="209"/>
      <c r="N582" s="209"/>
      <c r="O582" s="236"/>
      <c r="P582" s="209"/>
      <c r="Q582" s="209"/>
      <c r="R582" s="209"/>
      <c r="S582" s="209"/>
      <c r="T582" s="209"/>
      <c r="U582" s="209"/>
      <c r="V582" s="209"/>
      <c r="W582" s="209"/>
      <c r="X582" s="209"/>
      <c r="Y582" s="209"/>
      <c r="Z582" s="209"/>
      <c r="AA582" s="209"/>
    </row>
    <row r="583" spans="1:27" ht="17.25" customHeight="1" x14ac:dyDescent="0.2">
      <c r="A583" s="13"/>
      <c r="B583" s="5"/>
      <c r="C583" s="5"/>
      <c r="D583" s="5"/>
      <c r="E583" s="5"/>
      <c r="F583" s="5"/>
      <c r="G583" s="5"/>
      <c r="H583" s="5"/>
      <c r="I583" s="5"/>
      <c r="J583" s="5"/>
      <c r="K583" s="5"/>
      <c r="L583" s="5"/>
      <c r="M583" s="5"/>
    </row>
    <row r="584" spans="1:27" ht="17.25" customHeight="1" x14ac:dyDescent="0.2">
      <c r="A584" s="13"/>
      <c r="B584" s="5"/>
      <c r="C584" s="5"/>
      <c r="D584" s="5"/>
      <c r="E584" s="5"/>
      <c r="F584" s="5"/>
      <c r="G584" s="5"/>
      <c r="H584" s="5"/>
      <c r="I584" s="5"/>
      <c r="J584" s="5"/>
      <c r="K584" s="5"/>
      <c r="L584" s="5"/>
      <c r="M584" s="5"/>
    </row>
    <row r="585" spans="1:27" ht="17.25" customHeight="1" x14ac:dyDescent="0.2">
      <c r="A585" s="13"/>
      <c r="B585" s="5"/>
      <c r="C585" s="5"/>
      <c r="D585" s="5"/>
      <c r="E585" s="5"/>
      <c r="F585" s="5"/>
      <c r="G585" s="5"/>
      <c r="H585" s="5"/>
      <c r="I585" s="5"/>
      <c r="J585" s="5"/>
      <c r="K585" s="5"/>
      <c r="L585" s="5"/>
      <c r="M585" s="5"/>
    </row>
    <row r="586" spans="1:27" ht="17.25" customHeight="1" x14ac:dyDescent="0.2">
      <c r="A586" s="13"/>
      <c r="B586" s="5"/>
      <c r="C586" s="5"/>
      <c r="D586" s="5"/>
      <c r="E586" s="5"/>
      <c r="F586" s="5"/>
      <c r="G586" s="5"/>
      <c r="H586" s="5"/>
      <c r="I586" s="5"/>
      <c r="J586" s="5"/>
      <c r="K586" s="5"/>
      <c r="L586" s="5"/>
      <c r="M586" s="5"/>
    </row>
    <row r="587" spans="1:27" ht="17.25" customHeight="1" x14ac:dyDescent="0.2">
      <c r="A587" s="13"/>
      <c r="B587" s="5"/>
      <c r="C587" s="5"/>
      <c r="D587" s="5"/>
      <c r="E587" s="5"/>
      <c r="F587" s="5"/>
      <c r="G587" s="5"/>
      <c r="H587" s="5"/>
      <c r="I587" s="5"/>
      <c r="J587" s="5"/>
      <c r="K587" s="5"/>
      <c r="L587" s="5"/>
      <c r="M587" s="5"/>
    </row>
    <row r="588" spans="1:27" ht="17.25" customHeight="1" x14ac:dyDescent="0.2">
      <c r="A588" s="13"/>
      <c r="B588" s="5"/>
      <c r="C588" s="5"/>
      <c r="D588" s="5"/>
      <c r="E588" s="5"/>
      <c r="F588" s="5"/>
      <c r="G588" s="5"/>
      <c r="H588" s="5"/>
      <c r="I588" s="5"/>
      <c r="J588" s="5"/>
      <c r="K588" s="5"/>
      <c r="L588" s="5"/>
      <c r="M588" s="5"/>
    </row>
    <row r="589" spans="1:27" ht="17.25" customHeight="1" x14ac:dyDescent="0.2">
      <c r="A589" s="13"/>
      <c r="B589" s="5"/>
      <c r="C589" s="5"/>
      <c r="D589" s="5"/>
      <c r="E589" s="5"/>
      <c r="F589" s="5"/>
      <c r="G589" s="5"/>
      <c r="H589" s="5"/>
      <c r="I589" s="5"/>
      <c r="J589" s="5"/>
      <c r="K589" s="5"/>
      <c r="L589" s="5"/>
      <c r="M589" s="5"/>
    </row>
    <row r="590" spans="1:27" ht="17.25" customHeight="1" x14ac:dyDescent="0.2">
      <c r="A590" s="13"/>
      <c r="B590" s="5"/>
      <c r="C590" s="5"/>
      <c r="D590" s="5"/>
      <c r="E590" s="5"/>
      <c r="F590" s="5"/>
      <c r="G590" s="5"/>
      <c r="H590" s="5"/>
      <c r="I590" s="5"/>
      <c r="J590" s="5"/>
      <c r="K590" s="5"/>
      <c r="L590" s="5"/>
      <c r="M590" s="5"/>
    </row>
    <row r="591" spans="1:27" ht="17.25" customHeight="1" x14ac:dyDescent="0.2">
      <c r="A591" s="13"/>
      <c r="B591" s="5"/>
      <c r="C591" s="5"/>
      <c r="D591" s="5"/>
      <c r="E591" s="5"/>
      <c r="F591" s="5"/>
      <c r="G591" s="5"/>
      <c r="H591" s="5"/>
      <c r="I591" s="5"/>
      <c r="J591" s="5"/>
      <c r="K591" s="5"/>
      <c r="L591" s="5"/>
      <c r="M591" s="5"/>
    </row>
    <row r="592" spans="1:27" ht="17.25" customHeight="1" x14ac:dyDescent="0.2">
      <c r="A592" s="13"/>
      <c r="B592" s="5"/>
      <c r="C592" s="5"/>
      <c r="D592" s="5"/>
      <c r="E592" s="5"/>
      <c r="F592" s="5"/>
      <c r="G592" s="5"/>
      <c r="H592" s="5"/>
      <c r="I592" s="5"/>
      <c r="J592" s="5"/>
      <c r="K592" s="5"/>
      <c r="L592" s="5"/>
      <c r="M592" s="5"/>
    </row>
    <row r="593" spans="1:52" ht="17.25" customHeight="1" x14ac:dyDescent="0.2">
      <c r="A593" s="13"/>
      <c r="B593" s="5"/>
      <c r="C593" s="5"/>
      <c r="D593" s="5"/>
      <c r="E593" s="5"/>
      <c r="F593" s="5"/>
      <c r="G593" s="5"/>
      <c r="H593" s="5"/>
      <c r="I593" s="5"/>
      <c r="J593" s="5"/>
      <c r="K593" s="5"/>
      <c r="L593" s="5"/>
      <c r="M593" s="5"/>
    </row>
    <row r="594" spans="1:52" ht="17.25" customHeight="1" x14ac:dyDescent="0.2">
      <c r="A594" s="13"/>
      <c r="B594" s="5"/>
      <c r="C594" s="5"/>
      <c r="D594" s="5"/>
      <c r="E594" s="5"/>
      <c r="F594" s="5"/>
      <c r="G594" s="5"/>
      <c r="H594" s="5"/>
      <c r="I594" s="5"/>
      <c r="J594" s="5"/>
      <c r="K594" s="5"/>
      <c r="L594" s="5"/>
      <c r="M594" s="5"/>
    </row>
    <row r="595" spans="1:52" ht="17.25" customHeight="1" x14ac:dyDescent="0.2">
      <c r="A595" s="13"/>
      <c r="B595" s="5"/>
      <c r="C595" s="5"/>
      <c r="D595" s="5"/>
      <c r="E595" s="5"/>
      <c r="F595" s="5"/>
      <c r="G595" s="5"/>
      <c r="H595" s="5"/>
      <c r="I595" s="5"/>
      <c r="J595" s="5"/>
      <c r="K595" s="5"/>
      <c r="L595" s="5"/>
      <c r="M595" s="5"/>
    </row>
    <row r="596" spans="1:52" ht="17.25" customHeight="1" x14ac:dyDescent="0.2">
      <c r="A596" s="13"/>
      <c r="B596" s="5"/>
      <c r="C596" s="5"/>
      <c r="D596" s="5"/>
      <c r="E596" s="5"/>
      <c r="F596" s="5"/>
      <c r="G596" s="5"/>
      <c r="H596" s="5"/>
      <c r="I596" s="5"/>
      <c r="J596" s="5"/>
      <c r="K596" s="5"/>
      <c r="L596" s="5"/>
      <c r="M596" s="5"/>
    </row>
    <row r="597" spans="1:52" ht="17.25" customHeight="1" x14ac:dyDescent="0.2">
      <c r="A597" s="13"/>
      <c r="B597" s="5"/>
      <c r="C597" s="5"/>
      <c r="D597" s="5"/>
      <c r="E597" s="5"/>
      <c r="F597" s="5"/>
      <c r="G597" s="5"/>
      <c r="H597" s="5"/>
      <c r="I597" s="5"/>
      <c r="J597" s="5"/>
      <c r="K597" s="5"/>
      <c r="L597" s="5"/>
      <c r="M597" s="5"/>
    </row>
    <row r="598" spans="1:52" ht="17.25" customHeight="1" x14ac:dyDescent="0.2">
      <c r="A598" s="13"/>
      <c r="B598" s="5"/>
      <c r="C598" s="5"/>
      <c r="D598" s="5"/>
      <c r="E598" s="5"/>
      <c r="F598" s="5"/>
      <c r="G598" s="5"/>
      <c r="H598" s="5"/>
      <c r="I598" s="5"/>
      <c r="J598" s="5"/>
      <c r="K598" s="5"/>
      <c r="L598" s="5"/>
      <c r="M598" s="5"/>
    </row>
    <row r="599" spans="1:52" ht="17.25" customHeight="1" x14ac:dyDescent="0.2">
      <c r="A599" s="13"/>
      <c r="B599" s="5"/>
      <c r="C599" s="5"/>
      <c r="D599" s="5"/>
      <c r="E599" s="5"/>
      <c r="F599" s="5"/>
      <c r="G599" s="5"/>
      <c r="H599" s="5"/>
      <c r="I599" s="5"/>
      <c r="J599" s="5"/>
      <c r="K599" s="5"/>
      <c r="L599" s="5"/>
      <c r="M599" s="5"/>
    </row>
    <row r="600" spans="1:52" ht="17.25" customHeight="1" x14ac:dyDescent="0.2">
      <c r="A600" s="13"/>
      <c r="B600" s="5"/>
      <c r="C600" s="5"/>
      <c r="D600" s="5"/>
      <c r="E600" s="5"/>
      <c r="F600" s="5"/>
      <c r="G600" s="5"/>
      <c r="H600" s="5"/>
      <c r="I600" s="5"/>
      <c r="J600" s="5"/>
      <c r="K600" s="5"/>
      <c r="L600" s="5"/>
      <c r="M600" s="5"/>
    </row>
    <row r="601" spans="1:52" ht="17.25" customHeight="1" x14ac:dyDescent="0.2">
      <c r="A601" s="13"/>
      <c r="B601" s="5"/>
      <c r="C601" s="5"/>
      <c r="D601" s="5"/>
      <c r="E601" s="5"/>
      <c r="F601" s="5"/>
      <c r="G601" s="5"/>
      <c r="H601" s="5"/>
      <c r="I601" s="5"/>
      <c r="J601" s="5"/>
      <c r="K601" s="5"/>
      <c r="L601" s="5"/>
      <c r="M601" s="5"/>
    </row>
    <row r="602" spans="1:52" ht="17.25" customHeight="1" x14ac:dyDescent="0.2">
      <c r="A602" s="13"/>
      <c r="B602" s="5"/>
      <c r="C602" s="5"/>
      <c r="D602" s="5"/>
      <c r="E602" s="5"/>
      <c r="F602" s="5"/>
      <c r="G602" s="5"/>
      <c r="H602" s="5"/>
      <c r="I602" s="5"/>
      <c r="J602" s="5"/>
      <c r="K602" s="5"/>
      <c r="L602" s="5"/>
      <c r="M602" s="5"/>
    </row>
    <row r="603" spans="1:52" ht="17.25" customHeight="1" x14ac:dyDescent="0.2">
      <c r="A603" s="13"/>
      <c r="B603" s="5"/>
      <c r="C603" s="5"/>
      <c r="D603" s="5"/>
      <c r="E603" s="5"/>
      <c r="F603" s="5"/>
      <c r="G603" s="5"/>
      <c r="H603" s="5"/>
      <c r="I603" s="5"/>
      <c r="J603" s="5"/>
      <c r="K603" s="5"/>
      <c r="L603" s="5"/>
      <c r="M603" s="5"/>
    </row>
    <row r="604" spans="1:52" s="9" customFormat="1" ht="17.25" customHeight="1" x14ac:dyDescent="0.2">
      <c r="A604" s="112" t="s">
        <v>463</v>
      </c>
      <c r="B604" s="7"/>
      <c r="C604" s="7"/>
      <c r="D604" s="8"/>
      <c r="E604" s="8"/>
      <c r="F604" s="8"/>
      <c r="G604" s="8"/>
      <c r="O604" s="179"/>
    </row>
    <row r="605" spans="1:52" s="3" customFormat="1" ht="17.25" customHeight="1" x14ac:dyDescent="0.2">
      <c r="A605" s="13" t="s">
        <v>464</v>
      </c>
      <c r="O605" s="232"/>
      <c r="AZ605" s="44"/>
    </row>
    <row r="606" spans="1:52" s="3" customFormat="1" ht="17.25" customHeight="1" x14ac:dyDescent="0.2">
      <c r="A606" s="3" t="s">
        <v>21</v>
      </c>
      <c r="O606" s="232"/>
      <c r="AZ606" s="44"/>
    </row>
    <row r="607" spans="1:52" s="3" customFormat="1" ht="17.25" customHeight="1" x14ac:dyDescent="0.2">
      <c r="A607" s="3" t="s">
        <v>22</v>
      </c>
      <c r="O607" s="232"/>
      <c r="AZ607" s="44"/>
    </row>
    <row r="608" spans="1:52" s="3" customFormat="1" ht="17.25" customHeight="1" x14ac:dyDescent="0.2">
      <c r="A608" s="9" t="s">
        <v>14</v>
      </c>
      <c r="C608" s="9" t="s">
        <v>15</v>
      </c>
      <c r="E608" s="9"/>
      <c r="F608" s="9"/>
      <c r="G608" s="9"/>
      <c r="H608" s="9"/>
      <c r="O608" s="232"/>
      <c r="Q608" s="9"/>
      <c r="AA608" s="9"/>
      <c r="AB608" s="9"/>
      <c r="AC608" s="9"/>
      <c r="AZ608" s="44"/>
    </row>
    <row r="609" spans="1:52" s="3" customFormat="1" ht="17.25" customHeight="1" x14ac:dyDescent="0.2">
      <c r="A609" s="9" t="s">
        <v>16</v>
      </c>
      <c r="C609" s="9" t="s">
        <v>17</v>
      </c>
      <c r="O609" s="232"/>
      <c r="Q609" s="9"/>
      <c r="AA609" s="9"/>
      <c r="AB609" s="9"/>
      <c r="AC609" s="9"/>
      <c r="AZ609" s="44"/>
    </row>
    <row r="610" spans="1:52" s="3" customFormat="1" ht="17.25" customHeight="1" x14ac:dyDescent="0.2">
      <c r="A610" s="9" t="s">
        <v>499</v>
      </c>
      <c r="C610" s="9" t="s">
        <v>18</v>
      </c>
      <c r="O610" s="232"/>
      <c r="Q610" s="9"/>
      <c r="AA610" s="9"/>
      <c r="AB610" s="9"/>
      <c r="AC610" s="9"/>
      <c r="AZ610" s="44"/>
    </row>
    <row r="611" spans="1:52" s="3" customFormat="1" ht="17.25" customHeight="1" x14ac:dyDescent="0.2">
      <c r="A611" s="3" t="s">
        <v>500</v>
      </c>
      <c r="C611" s="9" t="s">
        <v>19</v>
      </c>
      <c r="O611" s="232"/>
      <c r="Q611" s="9"/>
      <c r="AZ611" s="44"/>
    </row>
    <row r="612" spans="1:52" s="3" customFormat="1" ht="17.25" customHeight="1" x14ac:dyDescent="0.2">
      <c r="A612" s="3" t="s">
        <v>501</v>
      </c>
      <c r="C612" s="3" t="s">
        <v>20</v>
      </c>
      <c r="O612" s="232"/>
      <c r="AZ612" s="44"/>
    </row>
    <row r="613" spans="1:52" s="3" customFormat="1" ht="17.25" customHeight="1" x14ac:dyDescent="0.2">
      <c r="A613" s="3" t="s">
        <v>502</v>
      </c>
      <c r="H613" s="9"/>
      <c r="O613" s="232"/>
      <c r="AZ613" s="44"/>
    </row>
    <row r="614" spans="1:52" s="3" customFormat="1" ht="17.25" customHeight="1" x14ac:dyDescent="0.2">
      <c r="A614" s="3" t="s">
        <v>503</v>
      </c>
      <c r="O614" s="232"/>
      <c r="AZ614" s="44"/>
    </row>
    <row r="615" spans="1:52" s="3" customFormat="1" ht="17.25" customHeight="1" x14ac:dyDescent="0.2">
      <c r="O615" s="232"/>
      <c r="AZ615" s="44"/>
    </row>
    <row r="616" spans="1:52" s="3" customFormat="1" ht="17.25" customHeight="1" x14ac:dyDescent="0.2">
      <c r="B616" s="69" t="s">
        <v>504</v>
      </c>
      <c r="O616" s="232"/>
      <c r="AZ616" s="44"/>
    </row>
    <row r="617" spans="1:52" s="3" customFormat="1" ht="17.25" customHeight="1" x14ac:dyDescent="0.2">
      <c r="H617" s="9"/>
      <c r="O617" s="232"/>
      <c r="AZ617" s="44"/>
    </row>
    <row r="618" spans="1:52" ht="17.25" customHeight="1" x14ac:dyDescent="0.2">
      <c r="A618" s="48"/>
      <c r="B618" s="5"/>
      <c r="C618" s="5"/>
      <c r="D618" s="5"/>
      <c r="E618" s="5"/>
      <c r="F618" s="5"/>
      <c r="G618" s="5"/>
      <c r="H618" s="5"/>
      <c r="I618" s="5"/>
      <c r="J618" s="5"/>
      <c r="K618" s="5"/>
      <c r="L618" s="5"/>
      <c r="M618" s="5"/>
    </row>
    <row r="619" spans="1:52" ht="17.25" customHeight="1" x14ac:dyDescent="0.2">
      <c r="A619" s="48"/>
      <c r="B619" s="5"/>
      <c r="C619" s="5"/>
      <c r="D619" s="5"/>
      <c r="E619" s="5"/>
      <c r="F619" s="5"/>
      <c r="G619" s="5"/>
      <c r="H619" s="5"/>
      <c r="I619" s="5"/>
      <c r="J619" s="5"/>
      <c r="K619" s="5"/>
      <c r="L619" s="5"/>
      <c r="M619" s="5"/>
    </row>
    <row r="620" spans="1:52" ht="17.25" customHeight="1" x14ac:dyDescent="0.2">
      <c r="A620" s="243" t="s">
        <v>583</v>
      </c>
      <c r="B620" s="5"/>
      <c r="C620" s="5"/>
      <c r="D620" s="5"/>
      <c r="E620" s="5"/>
      <c r="F620" s="5"/>
      <c r="G620" s="5"/>
      <c r="H620" s="5"/>
      <c r="I620" s="5"/>
      <c r="J620" s="5"/>
      <c r="K620" s="5"/>
      <c r="L620" s="5"/>
      <c r="M620" s="5"/>
    </row>
    <row r="621" spans="1:52" ht="17.25" customHeight="1" x14ac:dyDescent="0.2">
      <c r="A621" s="50" t="s">
        <v>582</v>
      </c>
      <c r="B621" s="5"/>
      <c r="C621" s="5"/>
      <c r="D621" s="5"/>
      <c r="E621" s="5"/>
      <c r="F621" s="5"/>
      <c r="G621" s="5"/>
      <c r="H621" s="5"/>
      <c r="I621" s="5"/>
      <c r="J621" s="5"/>
      <c r="K621" s="5"/>
      <c r="L621" s="5"/>
      <c r="M621" s="5"/>
    </row>
    <row r="622" spans="1:52" ht="17.25" customHeight="1" x14ac:dyDescent="0.2">
      <c r="A622" s="48"/>
      <c r="B622" s="5"/>
      <c r="C622" s="5"/>
      <c r="D622" s="5"/>
      <c r="E622" s="5"/>
      <c r="F622" s="5"/>
      <c r="G622" s="5"/>
      <c r="H622" s="5"/>
      <c r="I622" s="5"/>
      <c r="J622" s="5"/>
      <c r="K622" s="5"/>
      <c r="L622" s="5"/>
      <c r="M622" s="5"/>
    </row>
    <row r="623" spans="1:52" ht="17.25" customHeight="1" x14ac:dyDescent="0.2">
      <c r="A623" s="48"/>
      <c r="B623" s="5"/>
      <c r="C623" s="5"/>
      <c r="D623" s="5"/>
      <c r="E623" s="5"/>
      <c r="F623" s="5"/>
      <c r="G623" s="5"/>
      <c r="H623" s="5"/>
      <c r="I623" s="5"/>
      <c r="J623" s="5"/>
      <c r="K623" s="5"/>
      <c r="L623" s="5"/>
      <c r="M623" s="5"/>
    </row>
    <row r="624" spans="1:52" ht="17.25" customHeight="1" x14ac:dyDescent="0.2">
      <c r="A624" s="48"/>
      <c r="B624" s="5"/>
      <c r="C624" s="5"/>
      <c r="D624" s="5"/>
      <c r="E624" s="5"/>
      <c r="F624" s="5"/>
      <c r="G624" s="5"/>
      <c r="H624" s="5"/>
      <c r="I624" s="5"/>
      <c r="J624" s="5"/>
      <c r="K624" s="5"/>
      <c r="L624" s="5"/>
      <c r="M624" s="5"/>
    </row>
    <row r="625" spans="1:52" ht="17.25" customHeight="1" x14ac:dyDescent="0.2">
      <c r="A625" s="48"/>
      <c r="B625" s="5"/>
      <c r="C625" s="5"/>
      <c r="D625" s="5"/>
      <c r="E625" s="5"/>
      <c r="F625" s="5"/>
      <c r="G625" s="5"/>
      <c r="H625" s="5"/>
      <c r="I625" s="5"/>
      <c r="J625" s="5"/>
      <c r="K625" s="5"/>
      <c r="L625" s="5"/>
      <c r="M625" s="5"/>
    </row>
    <row r="626" spans="1:52" ht="17.25" customHeight="1" x14ac:dyDescent="0.2">
      <c r="A626" s="48"/>
      <c r="B626" s="5"/>
      <c r="C626" s="5"/>
      <c r="D626" s="5"/>
      <c r="E626" s="5"/>
      <c r="F626" s="5"/>
      <c r="G626" s="5"/>
      <c r="H626" s="5"/>
      <c r="I626" s="5"/>
      <c r="J626" s="5"/>
      <c r="K626" s="5"/>
      <c r="L626" s="5"/>
      <c r="M626" s="5"/>
    </row>
    <row r="627" spans="1:52" ht="17.25" customHeight="1" x14ac:dyDescent="0.2">
      <c r="A627" s="48"/>
      <c r="B627" s="5"/>
      <c r="C627" s="5"/>
      <c r="D627" s="5"/>
      <c r="E627" s="5"/>
      <c r="F627" s="5"/>
      <c r="G627" s="5"/>
      <c r="H627" s="5"/>
      <c r="I627" s="5"/>
      <c r="J627" s="5"/>
      <c r="K627" s="5"/>
      <c r="L627" s="5"/>
      <c r="M627" s="5"/>
    </row>
    <row r="628" spans="1:52" ht="17.25" customHeight="1" x14ac:dyDescent="0.2">
      <c r="A628" s="48"/>
      <c r="B628" s="5"/>
      <c r="C628" s="5"/>
      <c r="D628" s="5"/>
      <c r="E628" s="5"/>
      <c r="F628" s="5"/>
      <c r="G628" s="5"/>
      <c r="H628" s="5"/>
      <c r="I628" s="5"/>
      <c r="J628" s="5"/>
      <c r="K628" s="5"/>
      <c r="L628" s="5"/>
      <c r="M628" s="5"/>
    </row>
    <row r="629" spans="1:52" ht="17.25" customHeight="1" x14ac:dyDescent="0.2">
      <c r="A629" s="48"/>
      <c r="B629" s="5"/>
      <c r="C629" s="5"/>
      <c r="D629" s="5"/>
      <c r="E629" s="5"/>
      <c r="F629" s="5"/>
      <c r="G629" s="5"/>
      <c r="H629" s="5"/>
      <c r="I629" s="5"/>
      <c r="J629" s="5"/>
      <c r="K629" s="5"/>
      <c r="L629" s="5"/>
      <c r="M629" s="5"/>
    </row>
    <row r="630" spans="1:52" ht="17.25" customHeight="1" x14ac:dyDescent="0.2">
      <c r="A630" s="48"/>
      <c r="B630" s="5"/>
      <c r="C630" s="5"/>
      <c r="D630" s="5"/>
      <c r="E630" s="5"/>
      <c r="F630" s="5"/>
      <c r="G630" s="5"/>
      <c r="H630" s="5"/>
      <c r="I630" s="5"/>
      <c r="J630" s="5"/>
      <c r="K630" s="5"/>
      <c r="L630" s="5"/>
      <c r="M630" s="5"/>
    </row>
    <row r="631" spans="1:52" ht="17.25" customHeight="1" x14ac:dyDescent="0.2">
      <c r="A631" s="48"/>
      <c r="B631" s="5"/>
      <c r="C631" s="5"/>
      <c r="D631" s="5"/>
      <c r="E631" s="5"/>
      <c r="F631" s="5"/>
      <c r="G631" s="5"/>
      <c r="H631" s="5"/>
      <c r="I631" s="5"/>
      <c r="J631" s="5"/>
      <c r="K631" s="5"/>
      <c r="L631" s="5"/>
      <c r="M631" s="5"/>
    </row>
    <row r="632" spans="1:52" ht="17.25" customHeight="1" x14ac:dyDescent="0.2">
      <c r="A632" s="48"/>
      <c r="B632" s="5"/>
      <c r="C632" s="5"/>
      <c r="D632" s="5"/>
      <c r="E632" s="5"/>
      <c r="F632" s="5"/>
      <c r="G632" s="5"/>
      <c r="H632" s="5"/>
      <c r="I632" s="5"/>
      <c r="J632" s="5"/>
      <c r="K632" s="5"/>
      <c r="L632" s="5"/>
      <c r="M632" s="5"/>
    </row>
    <row r="633" spans="1:52" ht="17.25" customHeight="1" x14ac:dyDescent="0.2">
      <c r="A633" s="13" t="s">
        <v>465</v>
      </c>
      <c r="B633" s="5"/>
      <c r="C633" s="5"/>
      <c r="D633" s="5"/>
      <c r="E633" s="5"/>
      <c r="F633" s="5"/>
      <c r="G633" s="5"/>
      <c r="H633" s="5"/>
      <c r="I633" s="5"/>
      <c r="J633" s="5"/>
      <c r="K633" s="5"/>
      <c r="L633" s="5"/>
      <c r="M633" s="5"/>
    </row>
    <row r="634" spans="1:52" s="3" customFormat="1" ht="17.25" customHeight="1" x14ac:dyDescent="0.2">
      <c r="A634" s="117" t="s">
        <v>466</v>
      </c>
      <c r="O634" s="232"/>
      <c r="AZ634" s="44"/>
    </row>
    <row r="635" spans="1:52" s="3" customFormat="1" ht="17.25" customHeight="1" thickBot="1" x14ac:dyDescent="0.25">
      <c r="A635" s="13"/>
      <c r="O635" s="232"/>
      <c r="AZ635" s="44"/>
    </row>
    <row r="636" spans="1:52" s="3" customFormat="1" ht="17.25" customHeight="1" x14ac:dyDescent="0.2">
      <c r="A636" s="3" t="s">
        <v>27</v>
      </c>
      <c r="D636" s="51" t="s">
        <v>28</v>
      </c>
      <c r="E636" s="276" t="s">
        <v>29</v>
      </c>
      <c r="F636" s="277"/>
      <c r="O636" s="232"/>
      <c r="AZ636" s="44"/>
    </row>
    <row r="637" spans="1:52" s="3" customFormat="1" ht="17.25" customHeight="1" thickBot="1" x14ac:dyDescent="0.25">
      <c r="D637" s="52"/>
      <c r="E637" s="278">
        <v>2</v>
      </c>
      <c r="F637" s="279"/>
      <c r="O637" s="232"/>
      <c r="AZ637" s="44"/>
    </row>
    <row r="638" spans="1:52" ht="17.25" customHeight="1" x14ac:dyDescent="0.2">
      <c r="A638" s="6"/>
      <c r="B638" s="5"/>
      <c r="C638" s="10"/>
      <c r="D638" s="10"/>
      <c r="E638" s="10"/>
      <c r="F638" s="3"/>
      <c r="G638" s="3"/>
      <c r="H638" s="3"/>
      <c r="I638" s="5"/>
      <c r="J638" s="5"/>
      <c r="K638" s="5"/>
      <c r="L638" s="5"/>
      <c r="M638" s="5"/>
    </row>
    <row r="639" spans="1:52" ht="17.25" customHeight="1" x14ac:dyDescent="0.2">
      <c r="A639" s="6"/>
      <c r="B639" s="5"/>
      <c r="C639" s="39" t="s">
        <v>31</v>
      </c>
      <c r="D639" s="54">
        <f>5.9674*1000</f>
        <v>5967.4</v>
      </c>
      <c r="E639" s="3" t="s">
        <v>30</v>
      </c>
      <c r="F639" s="10"/>
      <c r="G639" s="5"/>
      <c r="H639" s="5"/>
      <c r="I639" s="5"/>
      <c r="J639" s="5"/>
      <c r="K639" s="5"/>
      <c r="L639" s="5"/>
      <c r="M639" s="10"/>
      <c r="N639" s="3"/>
      <c r="O639" s="232"/>
    </row>
    <row r="640" spans="1:52" ht="17.25" customHeight="1" x14ac:dyDescent="0.2">
      <c r="A640" s="10"/>
      <c r="B640" s="10"/>
      <c r="C640" s="39" t="s">
        <v>33</v>
      </c>
      <c r="D640" s="55">
        <f>D639/2</f>
        <v>2983.7</v>
      </c>
      <c r="E640" s="3" t="s">
        <v>32</v>
      </c>
      <c r="F640" s="55"/>
      <c r="G640" s="55"/>
      <c r="H640" s="10"/>
      <c r="I640" s="10"/>
      <c r="J640" s="55"/>
      <c r="K640" s="10"/>
      <c r="L640" s="10"/>
      <c r="M640" s="3"/>
      <c r="N640" s="3"/>
      <c r="P640" s="3"/>
      <c r="Q640" s="3"/>
      <c r="R640" s="3"/>
      <c r="S640" s="3"/>
      <c r="T640" s="3"/>
    </row>
    <row r="641" spans="1:29" ht="17.25" customHeight="1" x14ac:dyDescent="0.2">
      <c r="A641" s="10"/>
      <c r="B641" s="25" t="str">
        <f>"======&gt;"</f>
        <v>======&gt;</v>
      </c>
      <c r="C641" s="39" t="s">
        <v>76</v>
      </c>
      <c r="D641" s="55">
        <f>D640*1.3</f>
        <v>3878.81</v>
      </c>
      <c r="E641" s="3" t="s">
        <v>77</v>
      </c>
      <c r="F641" s="55"/>
      <c r="G641" s="55"/>
      <c r="H641" s="10"/>
      <c r="I641" s="10"/>
      <c r="J641" s="55"/>
      <c r="K641" s="10"/>
      <c r="L641" s="10"/>
      <c r="M641" s="3"/>
      <c r="N641" s="3"/>
      <c r="O641" s="232"/>
      <c r="P641" s="3"/>
      <c r="Q641" s="3"/>
      <c r="R641" s="3"/>
      <c r="S641" s="3"/>
      <c r="T641" s="3"/>
    </row>
    <row r="642" spans="1:29" ht="17.25" customHeight="1" x14ac:dyDescent="0.2">
      <c r="A642" s="10"/>
      <c r="B642" s="25"/>
      <c r="C642" s="39"/>
      <c r="D642" s="55"/>
      <c r="E642" s="55"/>
      <c r="F642" s="55"/>
      <c r="G642" s="55"/>
      <c r="H642" s="3"/>
      <c r="I642" s="55"/>
      <c r="J642" s="55"/>
      <c r="K642" s="10"/>
      <c r="L642" s="10"/>
      <c r="M642" s="3"/>
      <c r="N642" s="3"/>
      <c r="O642" s="232"/>
      <c r="P642" s="3"/>
      <c r="Q642" s="3"/>
      <c r="R642" s="3"/>
      <c r="S642" s="3"/>
      <c r="T642" s="3"/>
    </row>
    <row r="643" spans="1:29" ht="17.25" customHeight="1" x14ac:dyDescent="0.2">
      <c r="A643" s="10"/>
      <c r="B643" s="25"/>
      <c r="C643" s="39"/>
      <c r="D643" s="55"/>
      <c r="E643" s="55"/>
      <c r="F643" s="55"/>
      <c r="G643" s="55"/>
      <c r="H643" s="3"/>
      <c r="I643" s="55"/>
      <c r="J643" s="55"/>
      <c r="K643" s="10"/>
      <c r="L643" s="10"/>
      <c r="M643" s="3"/>
      <c r="N643" s="3"/>
      <c r="O643" s="232"/>
      <c r="P643" s="3"/>
      <c r="Q643" s="3"/>
      <c r="R643" s="3"/>
      <c r="S643" s="3"/>
      <c r="T643" s="3"/>
    </row>
    <row r="644" spans="1:29" ht="17.25" customHeight="1" x14ac:dyDescent="0.2">
      <c r="A644" s="6"/>
      <c r="B644" s="5"/>
      <c r="C644" s="5"/>
      <c r="D644" s="5"/>
      <c r="E644" s="5"/>
      <c r="F644" s="5"/>
      <c r="G644" s="5"/>
      <c r="H644" s="5"/>
      <c r="I644" s="5"/>
      <c r="J644" s="5"/>
      <c r="K644" s="5"/>
      <c r="L644" s="5"/>
      <c r="M644" s="5"/>
    </row>
    <row r="645" spans="1:29" ht="17.25" customHeight="1" x14ac:dyDescent="0.2">
      <c r="A645" s="6"/>
      <c r="B645" s="5"/>
      <c r="C645" s="5"/>
      <c r="D645" s="5"/>
      <c r="E645" s="5"/>
      <c r="F645" s="5"/>
      <c r="G645" s="5"/>
      <c r="H645" s="5"/>
      <c r="I645" s="5"/>
      <c r="J645" s="5"/>
      <c r="K645" s="5"/>
      <c r="L645" s="5"/>
      <c r="M645" s="5"/>
    </row>
    <row r="646" spans="1:29" ht="17.25" customHeight="1" x14ac:dyDescent="0.2">
      <c r="A646" s="6"/>
      <c r="B646" s="5"/>
      <c r="C646" s="5"/>
      <c r="D646" s="5"/>
      <c r="E646" s="5"/>
      <c r="F646" s="5"/>
      <c r="G646" s="5"/>
      <c r="H646" s="5"/>
      <c r="I646" s="5"/>
      <c r="J646" s="5"/>
      <c r="K646" s="5"/>
      <c r="L646" s="5"/>
      <c r="M646" s="5"/>
    </row>
    <row r="647" spans="1:29" ht="17.25" customHeight="1" x14ac:dyDescent="0.2">
      <c r="A647" s="6"/>
      <c r="B647" s="5"/>
      <c r="C647" s="5"/>
      <c r="D647" s="5"/>
      <c r="E647" s="5"/>
      <c r="F647" s="5"/>
      <c r="G647" s="5"/>
      <c r="H647" s="5"/>
      <c r="I647" s="5"/>
      <c r="J647" s="5"/>
      <c r="K647" s="5"/>
      <c r="L647" s="5"/>
      <c r="M647" s="5"/>
    </row>
    <row r="648" spans="1:29" ht="17.25" customHeight="1" x14ac:dyDescent="0.2">
      <c r="A648" s="6"/>
      <c r="B648" s="5"/>
      <c r="C648" s="5"/>
      <c r="D648" s="5"/>
      <c r="E648" s="5"/>
      <c r="F648" s="5"/>
      <c r="G648" s="5"/>
      <c r="H648" s="5"/>
      <c r="I648" s="5"/>
      <c r="J648" s="5"/>
      <c r="K648" s="5"/>
      <c r="L648" s="5"/>
      <c r="M648" s="5"/>
    </row>
    <row r="649" spans="1:29" ht="17.25" customHeight="1" x14ac:dyDescent="0.2">
      <c r="A649" s="6"/>
      <c r="B649" s="5"/>
      <c r="C649" s="5"/>
      <c r="D649" s="5"/>
      <c r="E649" s="5"/>
      <c r="F649" s="5"/>
      <c r="G649" s="5"/>
      <c r="H649" s="5"/>
      <c r="I649" s="5"/>
      <c r="J649" s="5"/>
      <c r="K649" s="5"/>
      <c r="L649" s="5"/>
      <c r="M649" s="5"/>
    </row>
    <row r="650" spans="1:29" ht="17.25" customHeight="1" x14ac:dyDescent="0.2">
      <c r="A650" s="6"/>
      <c r="B650" s="5"/>
      <c r="C650" s="5"/>
      <c r="D650" s="5"/>
      <c r="E650" s="5"/>
      <c r="F650" s="5"/>
      <c r="G650" s="5"/>
      <c r="H650" s="5"/>
      <c r="I650" s="5"/>
      <c r="J650" s="5"/>
      <c r="K650" s="5"/>
      <c r="L650" s="5"/>
      <c r="M650" s="5"/>
    </row>
    <row r="651" spans="1:29" ht="17.25" customHeight="1" x14ac:dyDescent="0.2">
      <c r="A651" s="6"/>
      <c r="B651" s="5"/>
      <c r="C651" s="5"/>
      <c r="D651" s="5"/>
      <c r="E651" s="5"/>
      <c r="F651" s="5"/>
      <c r="G651" s="5"/>
      <c r="H651" s="5"/>
      <c r="I651" s="5"/>
      <c r="J651" s="5"/>
      <c r="K651" s="5"/>
      <c r="L651" s="5"/>
      <c r="M651" s="5"/>
      <c r="N651" s="3"/>
      <c r="O651" s="232"/>
      <c r="P651" s="3"/>
      <c r="Q651" s="3"/>
      <c r="R651" s="3"/>
      <c r="S651" s="3"/>
      <c r="T651" s="3"/>
      <c r="U651" s="3"/>
      <c r="V651" s="3"/>
      <c r="W651" s="3"/>
      <c r="X651" s="3"/>
      <c r="Y651" s="3"/>
      <c r="Z651" s="3"/>
      <c r="AA651" s="3"/>
      <c r="AB651" s="3"/>
      <c r="AC651" s="3"/>
    </row>
    <row r="652" spans="1:29" ht="17.25" customHeight="1" x14ac:dyDescent="0.2">
      <c r="A652" s="6"/>
      <c r="B652" s="5"/>
      <c r="C652" s="5"/>
      <c r="D652" s="5"/>
      <c r="E652" s="5"/>
      <c r="F652" s="5"/>
      <c r="G652" s="5"/>
      <c r="H652" s="5"/>
      <c r="I652" s="5"/>
      <c r="J652" s="5"/>
      <c r="K652" s="5"/>
      <c r="L652" s="5"/>
      <c r="M652" s="5"/>
      <c r="N652" s="3"/>
      <c r="O652" s="232"/>
      <c r="P652" s="3"/>
      <c r="Q652" s="3"/>
      <c r="R652" s="3"/>
      <c r="S652" s="3"/>
      <c r="T652" s="3"/>
      <c r="U652" s="3"/>
      <c r="V652" s="3"/>
      <c r="W652" s="3"/>
      <c r="X652" s="3"/>
      <c r="Y652" s="3"/>
      <c r="Z652" s="3"/>
      <c r="AA652" s="3"/>
      <c r="AB652" s="3"/>
      <c r="AC652" s="3"/>
    </row>
    <row r="653" spans="1:29" ht="17.25" customHeight="1" x14ac:dyDescent="0.2">
      <c r="A653" s="6"/>
      <c r="B653" s="5"/>
      <c r="C653" s="5"/>
      <c r="D653" s="5"/>
      <c r="E653" s="5"/>
      <c r="F653" s="5"/>
      <c r="G653" s="5"/>
      <c r="H653" s="5"/>
      <c r="I653" s="5"/>
      <c r="J653" s="5"/>
      <c r="K653" s="5"/>
      <c r="L653" s="5"/>
      <c r="M653" s="5"/>
      <c r="N653" s="3"/>
      <c r="O653" s="232"/>
      <c r="P653" s="3"/>
      <c r="Q653" s="3"/>
      <c r="R653" s="3"/>
      <c r="S653" s="3"/>
      <c r="T653" s="3"/>
      <c r="U653" s="3"/>
      <c r="V653" s="3"/>
      <c r="W653" s="3"/>
      <c r="X653" s="3"/>
      <c r="Y653" s="3"/>
      <c r="Z653" s="3"/>
      <c r="AA653" s="3"/>
      <c r="AB653" s="3"/>
      <c r="AC653" s="3"/>
    </row>
    <row r="654" spans="1:29" ht="17.25" customHeight="1" x14ac:dyDescent="0.2">
      <c r="A654" s="6"/>
      <c r="B654" s="5"/>
      <c r="C654" s="5"/>
      <c r="D654" s="5"/>
      <c r="E654" s="5"/>
      <c r="F654" s="5"/>
      <c r="G654" s="5"/>
      <c r="H654" s="5"/>
      <c r="I654" s="5"/>
      <c r="J654" s="5"/>
      <c r="K654" s="5"/>
      <c r="L654" s="5"/>
      <c r="M654" s="5"/>
      <c r="N654" s="3"/>
      <c r="O654" s="232"/>
      <c r="P654" s="3"/>
      <c r="Q654" s="3"/>
      <c r="R654" s="3"/>
      <c r="S654" s="3"/>
      <c r="T654" s="3"/>
      <c r="U654" s="3"/>
      <c r="V654" s="3"/>
      <c r="W654" s="3"/>
      <c r="X654" s="3"/>
      <c r="Y654" s="3"/>
      <c r="Z654" s="3"/>
      <c r="AA654" s="3"/>
      <c r="AB654" s="3"/>
      <c r="AC654" s="3"/>
    </row>
    <row r="655" spans="1:29" ht="17.25" customHeight="1" x14ac:dyDescent="0.2">
      <c r="A655" s="6"/>
      <c r="B655" s="5"/>
      <c r="C655" s="5"/>
      <c r="D655" s="5"/>
      <c r="E655" s="5"/>
      <c r="F655" s="5"/>
      <c r="G655" s="5"/>
      <c r="H655" s="5"/>
      <c r="I655" s="5"/>
      <c r="J655" s="5"/>
      <c r="K655" s="5"/>
      <c r="L655" s="5"/>
      <c r="M655" s="5"/>
      <c r="N655" s="3"/>
      <c r="O655" s="232"/>
      <c r="P655" s="3"/>
      <c r="Q655" s="3"/>
      <c r="R655" s="3"/>
      <c r="S655" s="3"/>
      <c r="T655" s="3"/>
      <c r="U655" s="3"/>
      <c r="V655" s="3"/>
      <c r="W655" s="3"/>
      <c r="X655" s="3"/>
      <c r="Y655" s="3"/>
      <c r="Z655" s="3"/>
      <c r="AA655" s="3"/>
      <c r="AB655" s="3"/>
      <c r="AC655" s="3"/>
    </row>
    <row r="656" spans="1:29" ht="17.25" customHeight="1" x14ac:dyDescent="0.2">
      <c r="A656" s="6"/>
      <c r="B656" s="5"/>
      <c r="C656" s="5"/>
      <c r="D656" s="5"/>
      <c r="E656" s="5"/>
      <c r="F656" s="5"/>
      <c r="G656" s="5"/>
      <c r="H656" s="5"/>
      <c r="I656" s="5"/>
      <c r="J656" s="5"/>
      <c r="K656" s="5"/>
      <c r="L656" s="5"/>
      <c r="M656" s="5"/>
      <c r="N656" s="3"/>
      <c r="O656" s="232"/>
      <c r="P656" s="3"/>
      <c r="Q656" s="3"/>
      <c r="R656" s="3"/>
      <c r="S656" s="3"/>
      <c r="T656" s="3"/>
      <c r="U656" s="3"/>
      <c r="V656" s="3"/>
      <c r="W656" s="3"/>
      <c r="X656" s="3"/>
      <c r="Y656" s="3"/>
      <c r="Z656" s="3"/>
      <c r="AA656" s="3"/>
      <c r="AB656" s="3"/>
      <c r="AC656" s="3"/>
    </row>
    <row r="657" spans="1:52" ht="17.25" customHeight="1" x14ac:dyDescent="0.2">
      <c r="A657" s="6"/>
      <c r="B657" s="5"/>
      <c r="C657" s="5"/>
      <c r="D657" s="5"/>
      <c r="E657" s="5"/>
      <c r="F657" s="5"/>
      <c r="G657" s="5"/>
      <c r="H657" s="5"/>
      <c r="I657" s="5"/>
      <c r="J657" s="5"/>
      <c r="K657" s="5"/>
      <c r="L657" s="5"/>
      <c r="M657" s="5"/>
      <c r="N657" s="3"/>
      <c r="O657" s="232"/>
      <c r="P657" s="3"/>
      <c r="Q657" s="3"/>
      <c r="R657" s="3"/>
      <c r="S657" s="3"/>
      <c r="T657" s="3"/>
      <c r="U657" s="3"/>
      <c r="V657" s="3"/>
      <c r="W657" s="3"/>
      <c r="X657" s="3"/>
      <c r="Y657" s="3"/>
      <c r="Z657" s="3"/>
      <c r="AA657" s="3"/>
      <c r="AB657" s="3"/>
      <c r="AC657" s="3"/>
    </row>
    <row r="658" spans="1:52" ht="17.25" customHeight="1" x14ac:dyDescent="0.2">
      <c r="A658" s="6"/>
      <c r="B658" s="5"/>
      <c r="C658" s="5"/>
      <c r="D658" s="5"/>
      <c r="E658" s="5"/>
      <c r="F658" s="5"/>
      <c r="G658" s="5"/>
      <c r="H658" s="5"/>
      <c r="I658" s="5"/>
      <c r="J658" s="5"/>
      <c r="K658" s="5"/>
      <c r="L658" s="5"/>
      <c r="M658" s="5"/>
      <c r="N658" s="3"/>
      <c r="O658" s="232"/>
      <c r="P658" s="3"/>
      <c r="Q658" s="3"/>
      <c r="R658" s="3"/>
      <c r="S658" s="3"/>
      <c r="T658" s="3"/>
      <c r="U658" s="3"/>
      <c r="V658" s="3"/>
      <c r="W658" s="3"/>
      <c r="X658" s="3"/>
      <c r="Y658" s="3"/>
      <c r="Z658" s="3"/>
      <c r="AA658" s="3"/>
      <c r="AB658" s="3"/>
      <c r="AC658" s="3"/>
    </row>
    <row r="659" spans="1:52" ht="17.25" customHeight="1" x14ac:dyDescent="0.2">
      <c r="A659" s="6"/>
      <c r="B659" s="5"/>
      <c r="C659" s="5"/>
      <c r="D659" s="5"/>
      <c r="E659" s="5"/>
      <c r="F659" s="5"/>
      <c r="G659" s="5"/>
      <c r="H659" s="5"/>
      <c r="I659" s="5"/>
      <c r="J659" s="5"/>
      <c r="K659" s="5"/>
      <c r="L659" s="5"/>
      <c r="M659" s="5"/>
      <c r="N659" s="3"/>
      <c r="O659" s="232"/>
      <c r="P659" s="3"/>
      <c r="Q659" s="3"/>
      <c r="R659" s="3"/>
      <c r="S659" s="3"/>
      <c r="T659" s="3"/>
      <c r="U659" s="3"/>
      <c r="V659" s="3"/>
      <c r="W659" s="3"/>
      <c r="X659" s="3"/>
      <c r="Y659" s="3"/>
      <c r="Z659" s="3"/>
      <c r="AA659" s="3"/>
      <c r="AB659" s="3"/>
      <c r="AC659" s="3"/>
    </row>
    <row r="660" spans="1:52" ht="17.25" customHeight="1" x14ac:dyDescent="0.2">
      <c r="A660" s="6"/>
      <c r="B660" s="5"/>
      <c r="C660" s="5"/>
      <c r="D660" s="5"/>
      <c r="E660" s="5"/>
      <c r="F660" s="5"/>
      <c r="G660" s="5"/>
      <c r="H660" s="5"/>
      <c r="I660" s="5"/>
      <c r="J660" s="5"/>
      <c r="K660" s="5"/>
      <c r="L660" s="5"/>
      <c r="M660" s="5"/>
      <c r="N660" s="3"/>
      <c r="O660" s="232"/>
      <c r="P660" s="3"/>
      <c r="Q660" s="3"/>
      <c r="R660" s="3"/>
      <c r="S660" s="3"/>
      <c r="T660" s="3"/>
      <c r="U660" s="3"/>
      <c r="V660" s="3"/>
      <c r="W660" s="3"/>
      <c r="X660" s="3"/>
      <c r="Y660" s="3"/>
      <c r="Z660" s="3"/>
      <c r="AA660" s="3"/>
      <c r="AB660" s="3"/>
      <c r="AC660" s="3"/>
    </row>
    <row r="661" spans="1:52" s="3" customFormat="1" ht="17.25" customHeight="1" x14ac:dyDescent="0.2">
      <c r="A661" s="3" t="s">
        <v>34</v>
      </c>
      <c r="C661" s="307" t="s">
        <v>35</v>
      </c>
      <c r="D661" s="307"/>
      <c r="E661" s="3" t="s">
        <v>36</v>
      </c>
      <c r="O661" s="232"/>
      <c r="AZ661" s="44"/>
    </row>
    <row r="662" spans="1:52" s="3" customFormat="1" ht="17.25" customHeight="1" x14ac:dyDescent="0.2">
      <c r="E662" s="39" t="s">
        <v>37</v>
      </c>
      <c r="F662" s="3" t="s">
        <v>38</v>
      </c>
      <c r="O662" s="232"/>
      <c r="AZ662" s="44"/>
    </row>
    <row r="663" spans="1:52" s="3" customFormat="1" ht="17.25" customHeight="1" x14ac:dyDescent="0.2">
      <c r="E663" s="39" t="s">
        <v>39</v>
      </c>
      <c r="F663" s="3" t="s">
        <v>509</v>
      </c>
      <c r="O663" s="232"/>
      <c r="AZ663" s="44"/>
    </row>
    <row r="664" spans="1:52" ht="17.25" customHeight="1" x14ac:dyDescent="0.2">
      <c r="A664" s="6"/>
      <c r="B664" s="5"/>
      <c r="C664" s="5"/>
      <c r="D664" s="5"/>
      <c r="E664" s="39" t="s">
        <v>40</v>
      </c>
      <c r="F664" s="3" t="s">
        <v>510</v>
      </c>
      <c r="G664" s="5"/>
      <c r="H664" s="5"/>
      <c r="I664" s="65">
        <v>0.75</v>
      </c>
      <c r="J664" s="10"/>
      <c r="K664" s="10"/>
      <c r="L664" s="5"/>
      <c r="M664" s="5"/>
      <c r="R664" s="3"/>
      <c r="S664" s="3"/>
      <c r="T664" s="3"/>
      <c r="U664" s="3"/>
      <c r="V664" s="3"/>
      <c r="W664" s="3"/>
      <c r="X664" s="3"/>
      <c r="Y664" s="3"/>
      <c r="Z664" s="3"/>
      <c r="AA664" s="3"/>
      <c r="AB664" s="3"/>
      <c r="AC664" s="3"/>
    </row>
    <row r="665" spans="1:52" ht="17.25" customHeight="1" thickBot="1" x14ac:dyDescent="0.25">
      <c r="A665" s="6"/>
      <c r="B665" s="5"/>
      <c r="C665" s="5"/>
      <c r="D665" s="5"/>
      <c r="E665" s="39"/>
      <c r="F665" s="3"/>
      <c r="G665" s="5"/>
      <c r="H665" s="5"/>
      <c r="I665" s="10"/>
      <c r="J665" s="10"/>
      <c r="K665" s="10"/>
      <c r="L665" s="5"/>
      <c r="M665" s="5"/>
      <c r="R665" s="3"/>
      <c r="S665" s="3"/>
      <c r="T665" s="3"/>
      <c r="U665" s="3"/>
      <c r="V665" s="3"/>
      <c r="W665" s="3"/>
      <c r="X665" s="3"/>
      <c r="Y665" s="3"/>
      <c r="Z665" s="3"/>
      <c r="AA665" s="3"/>
      <c r="AB665" s="3"/>
      <c r="AC665" s="3"/>
    </row>
    <row r="666" spans="1:52" ht="17.25" customHeight="1" x14ac:dyDescent="0.2">
      <c r="A666" s="10"/>
      <c r="B666" s="3" t="s">
        <v>41</v>
      </c>
      <c r="C666" s="56"/>
      <c r="D666" s="57"/>
      <c r="E666" s="57"/>
      <c r="F666" s="121"/>
      <c r="G666" s="3"/>
      <c r="H666" s="3" t="s">
        <v>4</v>
      </c>
      <c r="I666" s="3"/>
      <c r="J666" s="3"/>
      <c r="K666" s="3"/>
      <c r="L666" s="3"/>
      <c r="M666" s="5"/>
      <c r="N666" s="3"/>
      <c r="O666" s="232"/>
      <c r="P666" s="3"/>
      <c r="U666" s="3"/>
      <c r="V666" s="3"/>
      <c r="W666" s="3"/>
      <c r="X666" s="3"/>
      <c r="Y666" s="3"/>
      <c r="Z666" s="3"/>
      <c r="AA666" s="3"/>
      <c r="AB666" s="3"/>
      <c r="AC666" s="3"/>
    </row>
    <row r="667" spans="1:52" s="3" customFormat="1" ht="17.25" customHeight="1" x14ac:dyDescent="0.2">
      <c r="C667" s="35"/>
      <c r="F667" s="193" t="s">
        <v>481</v>
      </c>
      <c r="G667" s="43"/>
      <c r="H667" s="43" t="s">
        <v>42</v>
      </c>
      <c r="I667" s="3" t="s">
        <v>43</v>
      </c>
      <c r="O667" s="232"/>
      <c r="AZ667" s="44"/>
    </row>
    <row r="668" spans="1:52" s="3" customFormat="1" ht="17.25" customHeight="1" thickBot="1" x14ac:dyDescent="0.25">
      <c r="C668" s="37"/>
      <c r="D668" s="59"/>
      <c r="E668" s="59"/>
      <c r="F668" s="38"/>
      <c r="H668" s="43" t="s">
        <v>45</v>
      </c>
      <c r="I668" s="3" t="s">
        <v>46</v>
      </c>
      <c r="O668" s="232"/>
      <c r="AZ668" s="44"/>
    </row>
    <row r="669" spans="1:52" s="3" customFormat="1" ht="17.25" customHeight="1" x14ac:dyDescent="0.2">
      <c r="C669" s="3" t="s">
        <v>44</v>
      </c>
      <c r="O669" s="232"/>
      <c r="AZ669" s="44"/>
    </row>
    <row r="670" spans="1:52" s="3" customFormat="1" ht="17.25" customHeight="1" x14ac:dyDescent="0.2">
      <c r="O670" s="232"/>
      <c r="AZ670" s="44"/>
    </row>
    <row r="671" spans="1:52" s="3" customFormat="1" ht="17.25" customHeight="1" x14ac:dyDescent="0.2">
      <c r="A671" s="27" t="s">
        <v>228</v>
      </c>
      <c r="B671" s="44">
        <v>3</v>
      </c>
      <c r="C671" s="3" t="s">
        <v>48</v>
      </c>
      <c r="E671" s="3" t="s">
        <v>47</v>
      </c>
      <c r="F671" s="43" t="s">
        <v>229</v>
      </c>
      <c r="G671" s="42">
        <f>B67/I96</f>
        <v>0.69090909090909092</v>
      </c>
      <c r="I671" s="9" t="s">
        <v>51</v>
      </c>
      <c r="J671" s="39" t="s">
        <v>218</v>
      </c>
      <c r="K671" s="43">
        <f>IF(G671&lt;=1.5,3,IF(G671&gt;=2,2,-2*G671+6))</f>
        <v>3</v>
      </c>
      <c r="O671" s="232"/>
      <c r="AZ671" s="44"/>
    </row>
    <row r="672" spans="1:52" s="3" customFormat="1" ht="17.25" customHeight="1" x14ac:dyDescent="0.2">
      <c r="A672" s="60" t="s">
        <v>49</v>
      </c>
      <c r="B672" s="61" t="s">
        <v>1</v>
      </c>
      <c r="F672" s="43" t="s">
        <v>66</v>
      </c>
      <c r="O672" s="232"/>
      <c r="AZ672" s="44"/>
    </row>
    <row r="673" spans="1:52" s="3" customFormat="1" ht="17.25" customHeight="1" x14ac:dyDescent="0.2">
      <c r="B673" s="44">
        <v>2</v>
      </c>
      <c r="C673" s="3" t="s">
        <v>50</v>
      </c>
      <c r="O673" s="232"/>
      <c r="AZ673" s="44"/>
    </row>
    <row r="674" spans="1:52" s="3" customFormat="1" ht="17.25" customHeight="1" x14ac:dyDescent="0.2">
      <c r="M674" s="44"/>
      <c r="O674" s="232"/>
      <c r="AZ674" s="44"/>
    </row>
    <row r="675" spans="1:52" s="3" customFormat="1" ht="17.25" customHeight="1" x14ac:dyDescent="0.2">
      <c r="A675" s="27" t="s">
        <v>216</v>
      </c>
      <c r="O675" s="232"/>
      <c r="AZ675" s="44"/>
    </row>
    <row r="676" spans="1:52" s="3" customFormat="1" ht="17.25" customHeight="1" x14ac:dyDescent="0.2">
      <c r="B676" s="39" t="s">
        <v>70</v>
      </c>
      <c r="C676" s="62">
        <f>B96</f>
        <v>0.2</v>
      </c>
      <c r="D676" s="43" t="s">
        <v>1</v>
      </c>
      <c r="E676" s="63">
        <f>C676*3.28</f>
        <v>0.65600000000000003</v>
      </c>
      <c r="F676" s="9" t="s">
        <v>53</v>
      </c>
      <c r="G676" s="9" t="s">
        <v>54</v>
      </c>
      <c r="J676" s="39" t="s">
        <v>71</v>
      </c>
      <c r="K676" s="64">
        <f>12*E676*12</f>
        <v>94.463999999999999</v>
      </c>
      <c r="O676" s="232"/>
      <c r="AZ676" s="44"/>
    </row>
    <row r="677" spans="1:52" s="3" customFormat="1" ht="17.25" customHeight="1" x14ac:dyDescent="0.2">
      <c r="O677" s="232"/>
      <c r="AZ677" s="44"/>
    </row>
    <row r="678" spans="1:52" s="3" customFormat="1" ht="17.25" customHeight="1" thickBot="1" x14ac:dyDescent="0.25">
      <c r="A678" s="27" t="s">
        <v>217</v>
      </c>
      <c r="E678" s="39"/>
      <c r="F678" s="39" t="s">
        <v>55</v>
      </c>
      <c r="O678" s="232"/>
      <c r="AZ678" s="44"/>
    </row>
    <row r="679" spans="1:52" s="3" customFormat="1" ht="17.25" customHeight="1" x14ac:dyDescent="0.2">
      <c r="B679" s="56"/>
      <c r="C679" s="57"/>
      <c r="D679" s="58"/>
      <c r="G679" s="39" t="s">
        <v>56</v>
      </c>
      <c r="H679" s="3" t="s">
        <v>68</v>
      </c>
      <c r="O679" s="232"/>
      <c r="AZ679" s="44"/>
    </row>
    <row r="680" spans="1:52" s="3" customFormat="1" ht="17.25" customHeight="1" x14ac:dyDescent="0.2">
      <c r="B680" s="35"/>
      <c r="D680" s="36"/>
      <c r="G680" s="39"/>
      <c r="H680" s="3" t="s">
        <v>69</v>
      </c>
      <c r="O680" s="232"/>
      <c r="AZ680" s="44"/>
    </row>
    <row r="681" spans="1:52" s="3" customFormat="1" ht="17.25" customHeight="1" x14ac:dyDescent="0.2">
      <c r="B681" s="35"/>
      <c r="D681" s="36"/>
      <c r="G681" s="39" t="s">
        <v>57</v>
      </c>
      <c r="H681" s="3" t="s">
        <v>58</v>
      </c>
      <c r="O681" s="232"/>
      <c r="AZ681" s="44"/>
    </row>
    <row r="682" spans="1:52" s="3" customFormat="1" ht="17.25" customHeight="1" thickBot="1" x14ac:dyDescent="0.25">
      <c r="B682" s="37"/>
      <c r="C682" s="59"/>
      <c r="D682" s="38"/>
      <c r="G682" s="39" t="s">
        <v>52</v>
      </c>
      <c r="H682" s="3" t="s">
        <v>59</v>
      </c>
      <c r="O682" s="232"/>
      <c r="AZ682" s="44"/>
    </row>
    <row r="683" spans="1:52" s="3" customFormat="1" ht="17.25" customHeight="1" x14ac:dyDescent="0.2">
      <c r="F683" s="3" t="s">
        <v>60</v>
      </c>
      <c r="K683" s="39" t="s">
        <v>67</v>
      </c>
      <c r="L683" s="65">
        <v>2.5000000000000001E-3</v>
      </c>
      <c r="O683" s="232"/>
      <c r="AZ683" s="44"/>
    </row>
    <row r="684" spans="1:52" s="3" customFormat="1" ht="17.25" customHeight="1" x14ac:dyDescent="0.2">
      <c r="A684" s="27" t="s">
        <v>508</v>
      </c>
      <c r="O684" s="232"/>
      <c r="AZ684" s="44"/>
    </row>
    <row r="685" spans="1:52" s="3" customFormat="1" ht="17.25" customHeight="1" x14ac:dyDescent="0.2">
      <c r="B685" s="39" t="s">
        <v>72</v>
      </c>
      <c r="C685" s="66">
        <f>B76</f>
        <v>210</v>
      </c>
      <c r="D685" s="43" t="s">
        <v>1</v>
      </c>
      <c r="E685" s="308">
        <f>C685*14.2233433071</f>
        <v>2986.9020944910003</v>
      </c>
      <c r="F685" s="308"/>
      <c r="G685" s="67"/>
      <c r="H685" s="9" t="s">
        <v>53</v>
      </c>
      <c r="I685" s="9" t="s">
        <v>61</v>
      </c>
      <c r="J685" s="9"/>
      <c r="O685" s="232"/>
      <c r="AZ685" s="44"/>
    </row>
    <row r="686" spans="1:52" s="3" customFormat="1" ht="17.25" customHeight="1" x14ac:dyDescent="0.2">
      <c r="B686" s="39" t="s">
        <v>73</v>
      </c>
      <c r="C686" s="66">
        <f>B78</f>
        <v>4200</v>
      </c>
      <c r="D686" s="43" t="s">
        <v>1</v>
      </c>
      <c r="E686" s="308">
        <f>C686*14.2233433071</f>
        <v>59738.041889820001</v>
      </c>
      <c r="F686" s="308"/>
      <c r="G686" s="67"/>
      <c r="H686" s="67"/>
      <c r="I686" s="67"/>
      <c r="K686" s="43"/>
      <c r="L686" s="43"/>
      <c r="O686" s="232"/>
      <c r="W686" s="9"/>
      <c r="Z686" s="9"/>
      <c r="AA686" s="9"/>
      <c r="AB686" s="9"/>
      <c r="AC686" s="9"/>
      <c r="AZ686" s="44"/>
    </row>
    <row r="687" spans="1:52" s="3" customFormat="1" ht="17.25" customHeight="1" thickBot="1" x14ac:dyDescent="0.25">
      <c r="K687" s="43"/>
      <c r="L687" s="43"/>
      <c r="O687" s="232"/>
      <c r="AZ687" s="44"/>
    </row>
    <row r="688" spans="1:52" s="3" customFormat="1" ht="17.25" customHeight="1" thickBot="1" x14ac:dyDescent="0.25">
      <c r="A688" s="3" t="s">
        <v>63</v>
      </c>
      <c r="F688" s="191" t="s">
        <v>74</v>
      </c>
      <c r="G688" s="309">
        <f>K676*(K671*SQRT(E685)+L683*E686)</f>
        <v>29595.833685670394</v>
      </c>
      <c r="H688" s="309"/>
      <c r="I688" s="310"/>
      <c r="J688" s="28" t="s">
        <v>53</v>
      </c>
      <c r="K688" s="50" t="s">
        <v>64</v>
      </c>
      <c r="O688" s="232"/>
      <c r="AZ688" s="44"/>
    </row>
    <row r="689" spans="1:52" s="3" customFormat="1" ht="17.25" customHeight="1" thickBot="1" x14ac:dyDescent="0.25">
      <c r="O689" s="228"/>
      <c r="P689" s="10"/>
      <c r="Q689" s="10"/>
      <c r="R689" s="10"/>
      <c r="S689" s="10"/>
      <c r="T689" s="10"/>
      <c r="U689" s="10"/>
      <c r="V689" s="10"/>
      <c r="AI689" s="1"/>
      <c r="AO689" s="3" t="s">
        <v>64</v>
      </c>
      <c r="AZ689" s="44"/>
    </row>
    <row r="690" spans="1:52" s="3" customFormat="1" ht="17.25" customHeight="1" thickBot="1" x14ac:dyDescent="0.25">
      <c r="F690" s="191" t="s">
        <v>74</v>
      </c>
      <c r="G690" s="263">
        <f>G688*0.4535923</f>
        <v>13424.442271900711</v>
      </c>
      <c r="H690" s="263"/>
      <c r="I690" s="264"/>
      <c r="O690" s="232"/>
      <c r="Q690" s="10"/>
      <c r="R690" s="10"/>
      <c r="S690" s="10"/>
      <c r="T690" s="10"/>
      <c r="U690" s="10"/>
      <c r="V690" s="10"/>
      <c r="AI690" s="2"/>
      <c r="AZ690" s="44"/>
    </row>
    <row r="691" spans="1:52" s="3" customFormat="1" ht="17.25" customHeight="1" x14ac:dyDescent="0.2">
      <c r="O691" s="228"/>
      <c r="P691" s="10"/>
      <c r="Q691" s="10"/>
      <c r="R691" s="10"/>
      <c r="S691" s="10"/>
      <c r="T691" s="10"/>
      <c r="U691" s="10"/>
      <c r="V691" s="10"/>
    </row>
    <row r="692" spans="1:52" s="3" customFormat="1" ht="17.25" customHeight="1" x14ac:dyDescent="0.2">
      <c r="A692" s="192" t="s">
        <v>65</v>
      </c>
      <c r="O692" s="237"/>
      <c r="P692" s="71"/>
      <c r="Q692" s="10"/>
      <c r="R692" s="10"/>
      <c r="S692" s="10"/>
      <c r="T692" s="10"/>
      <c r="U692" s="10"/>
      <c r="V692" s="10"/>
      <c r="AB692" s="306"/>
      <c r="AC692" s="306"/>
      <c r="AD692" s="72"/>
      <c r="AZ692" s="44"/>
    </row>
    <row r="693" spans="1:52" s="3" customFormat="1" ht="17.25" customHeight="1" x14ac:dyDescent="0.2">
      <c r="A693" s="195" t="s">
        <v>230</v>
      </c>
      <c r="B693" s="265">
        <f>G690*I664</f>
        <v>10068.331703925533</v>
      </c>
      <c r="C693" s="265"/>
      <c r="D693" s="194" t="str">
        <f>IF(B693&lt;F693,"&lt;","≥")</f>
        <v>≥</v>
      </c>
      <c r="E693" s="25" t="s">
        <v>75</v>
      </c>
      <c r="F693" s="265">
        <f>D641</f>
        <v>3878.81</v>
      </c>
      <c r="G693" s="265"/>
      <c r="H693" s="265"/>
      <c r="I693" s="27" t="str">
        <f>IF(B693&lt;F693,": Aumentar espesor del muro",": Espesor del muro adecuado")</f>
        <v>: Espesor del muro adecuado</v>
      </c>
      <c r="O693" s="228"/>
      <c r="P693" s="10"/>
      <c r="Q693" s="10"/>
      <c r="R693" s="10"/>
      <c r="S693" s="10"/>
      <c r="T693" s="10"/>
      <c r="U693" s="10"/>
      <c r="V693" s="10"/>
      <c r="AZ693" s="44"/>
    </row>
    <row r="694" spans="1:52" s="3" customFormat="1" ht="17.25" customHeight="1" x14ac:dyDescent="0.2">
      <c r="A694" s="195"/>
      <c r="B694" s="196"/>
      <c r="C694" s="196"/>
      <c r="D694" s="194"/>
      <c r="E694" s="25"/>
      <c r="F694" s="196"/>
      <c r="G694" s="196"/>
      <c r="H694" s="196"/>
      <c r="I694" s="27"/>
      <c r="O694" s="228"/>
      <c r="P694" s="10"/>
      <c r="Q694" s="10"/>
      <c r="R694" s="10"/>
      <c r="S694" s="10"/>
      <c r="T694" s="10"/>
      <c r="U694" s="10"/>
      <c r="V694" s="10"/>
      <c r="AZ694" s="44"/>
    </row>
    <row r="695" spans="1:52" s="3" customFormat="1" ht="17.25" customHeight="1" x14ac:dyDescent="0.2">
      <c r="M695" s="43"/>
      <c r="O695" s="228"/>
      <c r="P695" s="10"/>
      <c r="Q695" s="10"/>
      <c r="R695" s="10"/>
      <c r="S695" s="10"/>
      <c r="T695" s="10"/>
      <c r="U695" s="10"/>
      <c r="V695" s="10"/>
      <c r="AZ695" s="44"/>
    </row>
    <row r="696" spans="1:52" s="9" customFormat="1" ht="17.25" customHeight="1" x14ac:dyDescent="0.2">
      <c r="A696" s="117" t="s">
        <v>467</v>
      </c>
      <c r="B696" s="7"/>
      <c r="C696" s="7"/>
      <c r="D696" s="8"/>
      <c r="E696" s="8"/>
      <c r="F696" s="8"/>
      <c r="G696" s="8"/>
      <c r="O696" s="179"/>
    </row>
    <row r="697" spans="1:52" s="9" customFormat="1" ht="17.25" customHeight="1" x14ac:dyDescent="0.2">
      <c r="B697" s="28"/>
      <c r="O697" s="179"/>
      <c r="P697" s="9" t="s">
        <v>78</v>
      </c>
    </row>
    <row r="698" spans="1:52" s="9" customFormat="1" ht="17.25" customHeight="1" x14ac:dyDescent="0.2">
      <c r="A698" s="9" t="s">
        <v>4</v>
      </c>
      <c r="I698" s="28"/>
      <c r="O698" s="179"/>
      <c r="P698" s="40"/>
      <c r="Q698" s="40"/>
      <c r="R698" s="40"/>
      <c r="S698" s="40"/>
      <c r="T698" s="40"/>
    </row>
    <row r="699" spans="1:52" s="9" customFormat="1" ht="17.25" customHeight="1" x14ac:dyDescent="0.2">
      <c r="B699" s="28" t="s">
        <v>126</v>
      </c>
      <c r="C699" s="266">
        <v>0.621</v>
      </c>
      <c r="D699" s="266"/>
      <c r="E699" s="27" t="s">
        <v>127</v>
      </c>
      <c r="F699" s="27"/>
      <c r="G699" s="27"/>
      <c r="I699" s="28"/>
      <c r="O699" s="179"/>
      <c r="P699" s="40"/>
      <c r="Q699" s="40"/>
      <c r="R699" s="40"/>
      <c r="S699" s="40"/>
      <c r="T699" s="40"/>
    </row>
    <row r="700" spans="1:52" s="9" customFormat="1" ht="17.25" customHeight="1" x14ac:dyDescent="0.2">
      <c r="B700" s="28" t="s">
        <v>96</v>
      </c>
      <c r="C700" s="273">
        <f>$B$76</f>
        <v>210</v>
      </c>
      <c r="D700" s="273"/>
      <c r="E700" s="9" t="s">
        <v>97</v>
      </c>
      <c r="I700" s="28"/>
      <c r="O700" s="179"/>
      <c r="P700" s="40"/>
      <c r="Q700" s="40"/>
      <c r="R700" s="40"/>
      <c r="S700" s="40"/>
      <c r="T700" s="40"/>
    </row>
    <row r="701" spans="1:52" s="9" customFormat="1" ht="17.25" customHeight="1" x14ac:dyDescent="0.2">
      <c r="B701" s="28" t="s">
        <v>105</v>
      </c>
      <c r="C701" s="273">
        <f>$B$78</f>
        <v>4200</v>
      </c>
      <c r="D701" s="273"/>
      <c r="E701" s="3" t="s">
        <v>106</v>
      </c>
      <c r="F701" s="3"/>
      <c r="G701" s="3"/>
      <c r="I701" s="28"/>
      <c r="O701" s="179"/>
      <c r="P701" s="40"/>
      <c r="Q701" s="40"/>
      <c r="R701" s="40"/>
      <c r="S701" s="40"/>
      <c r="T701" s="40"/>
    </row>
    <row r="702" spans="1:52" s="9" customFormat="1" ht="17.25" customHeight="1" x14ac:dyDescent="0.2">
      <c r="A702" s="282" t="s">
        <v>79</v>
      </c>
      <c r="B702" s="282"/>
      <c r="C702" s="274">
        <v>0.9</v>
      </c>
      <c r="D702" s="274"/>
      <c r="E702" s="9" t="s">
        <v>93</v>
      </c>
      <c r="N702" s="28" t="s">
        <v>5</v>
      </c>
      <c r="O702" s="179"/>
    </row>
    <row r="703" spans="1:52" s="9" customFormat="1" ht="17.25" customHeight="1" x14ac:dyDescent="0.2">
      <c r="A703" s="282" t="s">
        <v>80</v>
      </c>
      <c r="B703" s="282"/>
      <c r="C703" s="275">
        <v>100</v>
      </c>
      <c r="D703" s="275"/>
      <c r="E703" s="9" t="s">
        <v>182</v>
      </c>
      <c r="O703" s="283">
        <f>C702*C700*C703*C704^2</f>
        <v>7560000</v>
      </c>
      <c r="P703" s="284"/>
      <c r="Q703" s="284"/>
      <c r="R703" s="285"/>
    </row>
    <row r="704" spans="1:52" s="9" customFormat="1" ht="17.25" customHeight="1" x14ac:dyDescent="0.2">
      <c r="A704" s="282" t="s">
        <v>81</v>
      </c>
      <c r="B704" s="282"/>
      <c r="C704" s="304">
        <f>25-J704</f>
        <v>20</v>
      </c>
      <c r="D704" s="304"/>
      <c r="E704" s="9" t="s">
        <v>511</v>
      </c>
      <c r="J704" s="275">
        <v>5</v>
      </c>
      <c r="K704" s="275"/>
      <c r="N704" s="28" t="s">
        <v>82</v>
      </c>
      <c r="O704" s="283">
        <f>C708*100</f>
        <v>80730</v>
      </c>
      <c r="P704" s="284"/>
      <c r="Q704" s="284"/>
      <c r="R704" s="285"/>
      <c r="W704" s="9" t="s">
        <v>83</v>
      </c>
    </row>
    <row r="705" spans="1:52" s="9" customFormat="1" ht="17.25" customHeight="1" x14ac:dyDescent="0.2">
      <c r="A705" s="282" t="s">
        <v>95</v>
      </c>
      <c r="B705" s="282"/>
      <c r="C705" s="269" t="s">
        <v>84</v>
      </c>
      <c r="D705" s="269"/>
      <c r="E705" s="9" t="s">
        <v>94</v>
      </c>
      <c r="O705" s="179"/>
    </row>
    <row r="706" spans="1:52" s="9" customFormat="1" ht="17.25" customHeight="1" x14ac:dyDescent="0.2">
      <c r="C706" s="8"/>
      <c r="O706" s="179"/>
    </row>
    <row r="707" spans="1:52" s="9" customFormat="1" ht="17.25" customHeight="1" x14ac:dyDescent="0.2">
      <c r="C707" s="8"/>
      <c r="O707" s="179"/>
    </row>
    <row r="708" spans="1:52" s="9" customFormat="1" ht="17.25" customHeight="1" x14ac:dyDescent="0.2">
      <c r="A708" s="28" t="s">
        <v>85</v>
      </c>
      <c r="B708" s="25" t="s">
        <v>86</v>
      </c>
      <c r="C708" s="267">
        <f>C699*1000*1.3</f>
        <v>807.30000000000007</v>
      </c>
      <c r="D708" s="267"/>
      <c r="E708" s="9" t="s">
        <v>92</v>
      </c>
      <c r="I708" s="9" t="s">
        <v>512</v>
      </c>
      <c r="K708" s="28" t="s">
        <v>89</v>
      </c>
      <c r="L708" s="79">
        <f>(O703+((O703)^2-2.36*O703*O704)^(1/2))/(1.18*O703)</f>
        <v>1.6841685426407345</v>
      </c>
      <c r="O708" s="179"/>
    </row>
    <row r="709" spans="1:52" s="9" customFormat="1" ht="17.25" customHeight="1" thickBot="1" x14ac:dyDescent="0.25">
      <c r="B709" s="28"/>
      <c r="C709" s="25"/>
      <c r="K709" s="28" t="s">
        <v>90</v>
      </c>
      <c r="L709" s="79">
        <f>(O703-((O703)^2-2.36*O703*O704)^(1/2))/(1.18*O703)</f>
        <v>1.0746711596553783E-2</v>
      </c>
      <c r="O709" s="179"/>
    </row>
    <row r="710" spans="1:52" s="3" customFormat="1" ht="17.25" customHeight="1" x14ac:dyDescent="0.2">
      <c r="A710" s="3" t="s">
        <v>91</v>
      </c>
      <c r="E710" s="51" t="s">
        <v>107</v>
      </c>
      <c r="F710" s="80" t="s">
        <v>98</v>
      </c>
      <c r="J710" s="39" t="s">
        <v>104</v>
      </c>
      <c r="K710" s="81">
        <f>MIN(L708:L709)*C700/C701</f>
        <v>5.3733557982768912E-4</v>
      </c>
      <c r="O710" s="232"/>
      <c r="AZ710" s="44"/>
    </row>
    <row r="711" spans="1:52" s="3" customFormat="1" ht="17.25" customHeight="1" thickBot="1" x14ac:dyDescent="0.25">
      <c r="E711" s="37"/>
      <c r="F711" s="53" t="s">
        <v>62</v>
      </c>
      <c r="G711" s="43"/>
      <c r="H711" s="25"/>
      <c r="O711" s="238"/>
      <c r="P711" s="5"/>
      <c r="Q711" s="5"/>
      <c r="R711" s="5"/>
      <c r="S711" s="5"/>
      <c r="T711" s="5"/>
      <c r="U711" s="5"/>
      <c r="V711" s="5"/>
      <c r="W711" s="5"/>
      <c r="X711" s="5"/>
      <c r="Y711" s="5"/>
      <c r="Z711" s="5"/>
      <c r="AA711" s="5"/>
      <c r="AB711" s="5"/>
      <c r="AC711" s="5"/>
      <c r="AD711" s="5"/>
      <c r="AE711" s="5"/>
      <c r="AF711" s="5"/>
      <c r="AG711" s="5"/>
      <c r="AH711" s="5"/>
      <c r="AZ711" s="44"/>
    </row>
    <row r="712" spans="1:52" s="3" customFormat="1" ht="17.25" customHeight="1" thickBot="1" x14ac:dyDescent="0.25">
      <c r="H712" s="39"/>
      <c r="J712" s="43"/>
      <c r="M712" s="5"/>
      <c r="N712" s="5"/>
      <c r="O712" s="238"/>
      <c r="P712" s="5"/>
      <c r="Q712" s="5"/>
      <c r="R712" s="5"/>
      <c r="S712" s="5"/>
      <c r="T712" s="5"/>
      <c r="U712" s="5"/>
      <c r="V712" s="5"/>
      <c r="W712" s="5"/>
      <c r="X712" s="5"/>
      <c r="Y712" s="5"/>
      <c r="Z712" s="5"/>
      <c r="AA712" s="5"/>
      <c r="AB712" s="5"/>
      <c r="AC712" s="5"/>
      <c r="AD712" s="5"/>
      <c r="AE712" s="5"/>
      <c r="AF712" s="5"/>
      <c r="AG712" s="5"/>
      <c r="AH712" s="5"/>
      <c r="AZ712" s="44"/>
    </row>
    <row r="713" spans="1:52" s="3" customFormat="1" ht="17.25" customHeight="1" thickBot="1" x14ac:dyDescent="0.25">
      <c r="A713" s="3" t="s">
        <v>99</v>
      </c>
      <c r="E713" s="68" t="s">
        <v>108</v>
      </c>
      <c r="F713" s="70" t="s">
        <v>100</v>
      </c>
      <c r="H713" s="39"/>
      <c r="J713" s="39" t="s">
        <v>109</v>
      </c>
      <c r="K713" s="82">
        <f>K710*C704*C703</f>
        <v>1.0746711596553782</v>
      </c>
      <c r="M713" s="5"/>
      <c r="N713" s="5"/>
      <c r="O713" s="238"/>
      <c r="P713" s="5"/>
      <c r="Q713" s="5"/>
      <c r="R713" s="5"/>
      <c r="S713" s="5"/>
      <c r="T713" s="5"/>
      <c r="U713" s="5"/>
      <c r="V713" s="5"/>
      <c r="W713" s="5"/>
      <c r="X713" s="5"/>
      <c r="Y713" s="5"/>
      <c r="Z713" s="5"/>
      <c r="AA713" s="5"/>
      <c r="AB713" s="5"/>
      <c r="AC713" s="5"/>
      <c r="AD713" s="5"/>
      <c r="AE713" s="5"/>
      <c r="AF713" s="5"/>
      <c r="AG713" s="5"/>
      <c r="AH713" s="5"/>
      <c r="AZ713" s="44"/>
    </row>
    <row r="714" spans="1:52" s="3" customFormat="1" ht="17.25" customHeight="1" thickBot="1" x14ac:dyDescent="0.25">
      <c r="H714" s="39"/>
      <c r="J714" s="43"/>
      <c r="M714" s="5"/>
      <c r="N714" s="5"/>
      <c r="O714" s="238"/>
      <c r="P714" s="5"/>
      <c r="Q714" s="5"/>
      <c r="R714" s="5"/>
      <c r="S714" s="5"/>
      <c r="T714" s="5"/>
      <c r="U714" s="5"/>
      <c r="V714" s="5"/>
      <c r="W714" s="5"/>
      <c r="X714" s="5"/>
      <c r="Y714" s="5"/>
      <c r="Z714" s="5"/>
      <c r="AA714" s="5"/>
      <c r="AB714" s="5"/>
      <c r="AC714" s="5"/>
      <c r="AD714" s="5"/>
      <c r="AE714" s="5"/>
      <c r="AF714" s="5"/>
      <c r="AG714" s="5"/>
      <c r="AH714" s="5"/>
      <c r="AZ714" s="44"/>
    </row>
    <row r="715" spans="1:52" s="3" customFormat="1" ht="17.25" customHeight="1" x14ac:dyDescent="0.2">
      <c r="A715" s="3" t="s">
        <v>101</v>
      </c>
      <c r="E715" s="51" t="s">
        <v>110</v>
      </c>
      <c r="F715" s="80" t="s">
        <v>102</v>
      </c>
      <c r="H715" s="39"/>
      <c r="J715" s="39" t="s">
        <v>111</v>
      </c>
      <c r="K715" s="82">
        <f>14*C704*C703/C701</f>
        <v>6.666666666666667</v>
      </c>
      <c r="M715" s="5"/>
      <c r="N715" s="5"/>
      <c r="O715" s="238"/>
      <c r="P715" s="5"/>
      <c r="Q715" s="5"/>
      <c r="R715" s="5"/>
      <c r="S715" s="5"/>
      <c r="T715" s="5"/>
      <c r="U715" s="5"/>
      <c r="V715" s="5"/>
      <c r="W715" s="5"/>
      <c r="X715" s="5"/>
      <c r="Y715" s="5"/>
      <c r="Z715" s="5"/>
      <c r="AA715" s="5"/>
      <c r="AB715" s="5"/>
      <c r="AC715" s="5"/>
      <c r="AD715" s="5"/>
      <c r="AE715" s="5"/>
      <c r="AF715" s="5"/>
      <c r="AG715" s="5"/>
      <c r="AH715" s="5"/>
      <c r="AZ715" s="44"/>
    </row>
    <row r="716" spans="1:52" s="3" customFormat="1" ht="17.25" customHeight="1" thickBot="1" x14ac:dyDescent="0.25">
      <c r="E716" s="37"/>
      <c r="F716" s="53" t="s">
        <v>62</v>
      </c>
      <c r="G716" s="43"/>
      <c r="H716" s="25"/>
      <c r="M716" s="5"/>
      <c r="N716" s="5"/>
      <c r="O716" s="238"/>
      <c r="P716" s="5"/>
      <c r="Q716" s="5"/>
      <c r="R716" s="5"/>
      <c r="S716" s="5"/>
      <c r="T716" s="5"/>
      <c r="U716" s="5"/>
      <c r="V716" s="5"/>
      <c r="W716" s="5"/>
      <c r="X716" s="5"/>
      <c r="Y716" s="5"/>
      <c r="Z716" s="5"/>
      <c r="AA716" s="5"/>
      <c r="AB716" s="5"/>
      <c r="AC716" s="5"/>
      <c r="AD716" s="5"/>
      <c r="AE716" s="5"/>
      <c r="AF716" s="5"/>
      <c r="AG716" s="5"/>
      <c r="AH716" s="5"/>
      <c r="AZ716" s="44"/>
    </row>
    <row r="717" spans="1:52" s="3" customFormat="1" ht="17.25" customHeight="1" x14ac:dyDescent="0.2">
      <c r="E717" s="43"/>
      <c r="F717" s="43"/>
      <c r="G717" s="43"/>
      <c r="M717" s="5"/>
      <c r="N717" s="5"/>
      <c r="O717" s="238"/>
      <c r="P717" s="5"/>
      <c r="Q717" s="5"/>
      <c r="R717" s="5"/>
      <c r="S717" s="5"/>
      <c r="T717" s="5"/>
      <c r="U717" s="5"/>
      <c r="V717" s="5"/>
      <c r="W717" s="5"/>
      <c r="X717" s="5"/>
      <c r="Y717" s="5"/>
      <c r="Z717" s="5"/>
      <c r="AA717" s="5"/>
      <c r="AB717" s="5"/>
      <c r="AC717" s="5"/>
      <c r="AD717" s="5"/>
      <c r="AE717" s="5"/>
      <c r="AF717" s="5"/>
      <c r="AG717" s="5"/>
      <c r="AH717" s="5"/>
      <c r="AZ717" s="44"/>
    </row>
    <row r="718" spans="1:52" s="3" customFormat="1" ht="17.25" customHeight="1" thickBot="1" x14ac:dyDescent="0.25">
      <c r="J718" s="3" t="s">
        <v>300</v>
      </c>
      <c r="M718" s="5"/>
      <c r="O718" s="232"/>
      <c r="R718" s="5"/>
      <c r="S718" s="5"/>
      <c r="T718" s="5"/>
      <c r="U718" s="5"/>
      <c r="V718" s="5"/>
      <c r="W718" s="5"/>
      <c r="X718" s="5"/>
      <c r="Y718" s="5"/>
      <c r="Z718" s="5"/>
      <c r="AA718" s="5"/>
      <c r="AB718" s="5"/>
      <c r="AC718" s="5"/>
      <c r="AD718" s="5"/>
      <c r="AE718" s="5"/>
      <c r="AF718" s="5"/>
      <c r="AG718" s="5"/>
      <c r="AH718" s="5"/>
      <c r="AZ718" s="44"/>
    </row>
    <row r="719" spans="1:52" s="3" customFormat="1" ht="17.25" customHeight="1" thickBot="1" x14ac:dyDescent="0.25">
      <c r="C719" s="13" t="s">
        <v>513</v>
      </c>
      <c r="E719" s="180" t="s">
        <v>113</v>
      </c>
      <c r="F719" s="270">
        <f>MAX(K713,K715)</f>
        <v>6.666666666666667</v>
      </c>
      <c r="G719" s="270"/>
      <c r="H719" s="271"/>
      <c r="M719" s="5"/>
      <c r="O719" s="232"/>
      <c r="R719" s="5"/>
      <c r="S719" s="5"/>
      <c r="T719" s="5"/>
      <c r="U719" s="5"/>
      <c r="V719" s="5"/>
      <c r="W719" s="5"/>
      <c r="X719" s="5"/>
      <c r="Y719" s="5"/>
      <c r="Z719" s="5"/>
      <c r="AA719" s="5"/>
      <c r="AB719" s="5"/>
      <c r="AC719" s="5"/>
      <c r="AD719" s="5"/>
      <c r="AE719" s="5"/>
      <c r="AF719" s="5"/>
      <c r="AG719" s="5"/>
      <c r="AH719" s="5"/>
      <c r="AZ719" s="44"/>
    </row>
    <row r="720" spans="1:52" s="3" customFormat="1" ht="17.25" customHeight="1" x14ac:dyDescent="0.2">
      <c r="C720" s="13"/>
      <c r="M720" s="5"/>
      <c r="O720" s="232"/>
      <c r="R720" s="5"/>
      <c r="S720" s="5"/>
      <c r="T720" s="5"/>
      <c r="U720" s="5"/>
      <c r="V720" s="5"/>
      <c r="W720" s="5"/>
      <c r="X720" s="5"/>
      <c r="Y720" s="5"/>
      <c r="Z720" s="5"/>
      <c r="AA720" s="5"/>
      <c r="AB720" s="5"/>
      <c r="AC720" s="5"/>
      <c r="AD720" s="5"/>
      <c r="AE720" s="5"/>
      <c r="AF720" s="5"/>
      <c r="AG720" s="5"/>
      <c r="AH720" s="5"/>
      <c r="AZ720" s="44"/>
    </row>
    <row r="721" spans="3:52" s="3" customFormat="1" ht="17.25" customHeight="1" x14ac:dyDescent="0.2">
      <c r="C721" s="13"/>
      <c r="M721" s="5"/>
      <c r="O721" s="232"/>
      <c r="R721" s="5"/>
      <c r="S721" s="5"/>
      <c r="T721" s="5"/>
      <c r="U721" s="5"/>
      <c r="V721" s="5"/>
      <c r="W721" s="5"/>
      <c r="X721" s="5"/>
      <c r="Y721" s="5"/>
      <c r="Z721" s="5"/>
      <c r="AA721" s="5"/>
      <c r="AB721" s="5"/>
      <c r="AC721" s="5"/>
      <c r="AD721" s="5"/>
      <c r="AE721" s="5"/>
      <c r="AF721" s="5"/>
      <c r="AG721" s="5"/>
      <c r="AH721" s="5"/>
      <c r="AZ721" s="44"/>
    </row>
    <row r="722" spans="3:52" s="3" customFormat="1" ht="17.25" customHeight="1" x14ac:dyDescent="0.2">
      <c r="C722" s="13"/>
      <c r="M722" s="5"/>
      <c r="O722" s="232"/>
      <c r="R722" s="5"/>
      <c r="S722" s="5"/>
      <c r="T722" s="5"/>
      <c r="U722" s="5"/>
      <c r="V722" s="5"/>
      <c r="W722" s="5"/>
      <c r="X722" s="5"/>
      <c r="Y722" s="5"/>
      <c r="Z722" s="5"/>
      <c r="AA722" s="5"/>
      <c r="AB722" s="5"/>
      <c r="AC722" s="5"/>
      <c r="AD722" s="5"/>
      <c r="AE722" s="5"/>
      <c r="AF722" s="5"/>
      <c r="AG722" s="5"/>
      <c r="AH722" s="5"/>
      <c r="AZ722" s="44"/>
    </row>
    <row r="723" spans="3:52" s="3" customFormat="1" ht="17.25" customHeight="1" x14ac:dyDescent="0.2">
      <c r="C723" s="13"/>
      <c r="M723" s="5"/>
      <c r="O723" s="232"/>
      <c r="R723" s="5"/>
      <c r="S723" s="5"/>
      <c r="T723" s="5"/>
      <c r="U723" s="5"/>
      <c r="V723" s="5"/>
      <c r="W723" s="5"/>
      <c r="X723" s="5"/>
      <c r="Y723" s="5"/>
      <c r="Z723" s="5"/>
      <c r="AA723" s="5"/>
      <c r="AB723" s="5"/>
      <c r="AC723" s="5"/>
      <c r="AD723" s="5"/>
      <c r="AE723" s="5"/>
      <c r="AF723" s="5"/>
      <c r="AG723" s="5"/>
      <c r="AH723" s="5"/>
      <c r="AZ723" s="44"/>
    </row>
    <row r="724" spans="3:52" s="3" customFormat="1" ht="17.25" customHeight="1" x14ac:dyDescent="0.2">
      <c r="C724" s="13"/>
      <c r="M724" s="5"/>
      <c r="O724" s="232"/>
      <c r="R724" s="5"/>
      <c r="S724" s="5"/>
      <c r="T724" s="5"/>
      <c r="U724" s="5"/>
      <c r="V724" s="5"/>
      <c r="W724" s="5"/>
      <c r="X724" s="5"/>
      <c r="Y724" s="5"/>
      <c r="Z724" s="5"/>
      <c r="AA724" s="5"/>
      <c r="AB724" s="5"/>
      <c r="AC724" s="5"/>
      <c r="AD724" s="5"/>
      <c r="AE724" s="5"/>
      <c r="AF724" s="5"/>
      <c r="AG724" s="5"/>
      <c r="AH724" s="5"/>
      <c r="AZ724" s="44"/>
    </row>
    <row r="725" spans="3:52" s="3" customFormat="1" ht="17.25" customHeight="1" x14ac:dyDescent="0.2">
      <c r="H725" s="5"/>
      <c r="I725" s="5"/>
      <c r="J725" s="5"/>
      <c r="M725" s="5"/>
      <c r="N725" s="5"/>
      <c r="O725" s="238"/>
      <c r="P725" s="5"/>
      <c r="Q725" s="5"/>
      <c r="R725" s="5"/>
      <c r="S725" s="5"/>
      <c r="T725" s="5"/>
      <c r="U725" s="5"/>
      <c r="V725" s="5"/>
      <c r="W725" s="5"/>
      <c r="X725" s="5"/>
      <c r="Y725" s="5"/>
      <c r="Z725" s="5"/>
      <c r="AA725" s="5"/>
      <c r="AB725" s="5"/>
      <c r="AC725" s="5"/>
      <c r="AD725" s="5"/>
      <c r="AE725" s="5"/>
      <c r="AF725" s="5"/>
      <c r="AG725" s="5"/>
      <c r="AH725" s="5"/>
      <c r="AZ725" s="44"/>
    </row>
    <row r="726" spans="3:52" s="3" customFormat="1" ht="17.25" customHeight="1" x14ac:dyDescent="0.2">
      <c r="H726" s="5"/>
      <c r="I726" s="5"/>
      <c r="J726" s="5"/>
      <c r="M726" s="5"/>
      <c r="N726" s="5"/>
      <c r="O726" s="238"/>
      <c r="P726" s="5"/>
      <c r="Q726" s="5"/>
      <c r="R726" s="5"/>
      <c r="S726" s="5"/>
      <c r="T726" s="5"/>
      <c r="U726" s="5"/>
      <c r="V726" s="5"/>
      <c r="W726" s="5"/>
      <c r="X726" s="5"/>
      <c r="Y726" s="5"/>
      <c r="Z726" s="5"/>
      <c r="AA726" s="5"/>
      <c r="AB726" s="5"/>
      <c r="AC726" s="5"/>
      <c r="AD726" s="5"/>
      <c r="AE726" s="5"/>
      <c r="AF726" s="5"/>
      <c r="AG726" s="5"/>
      <c r="AH726" s="5"/>
      <c r="AZ726" s="44"/>
    </row>
    <row r="727" spans="3:52" s="3" customFormat="1" ht="17.25" customHeight="1" x14ac:dyDescent="0.2">
      <c r="C727" s="5"/>
      <c r="D727" s="5"/>
      <c r="E727" s="5"/>
      <c r="F727" s="5"/>
      <c r="G727" s="5"/>
      <c r="H727" s="5"/>
      <c r="I727" s="5"/>
      <c r="J727" s="5"/>
      <c r="M727" s="5"/>
      <c r="N727" s="5"/>
      <c r="O727" s="238"/>
      <c r="P727" s="5"/>
      <c r="Q727" s="5"/>
      <c r="R727" s="5"/>
      <c r="S727" s="5"/>
      <c r="T727" s="5"/>
      <c r="U727" s="5"/>
      <c r="V727" s="5"/>
      <c r="W727" s="5"/>
      <c r="X727" s="5"/>
      <c r="Y727" s="5"/>
      <c r="Z727" s="5"/>
      <c r="AA727" s="5"/>
      <c r="AB727" s="5"/>
      <c r="AC727" s="5"/>
      <c r="AD727" s="5"/>
      <c r="AE727" s="5"/>
      <c r="AF727" s="5"/>
      <c r="AG727" s="5"/>
      <c r="AH727" s="5"/>
      <c r="AZ727" s="44"/>
    </row>
    <row r="728" spans="3:52" s="3" customFormat="1" ht="17.25" customHeight="1" x14ac:dyDescent="0.2">
      <c r="C728" s="5"/>
      <c r="D728" s="5"/>
      <c r="E728" s="5"/>
      <c r="F728" s="5"/>
      <c r="G728" s="5"/>
      <c r="H728" s="5"/>
      <c r="I728" s="5"/>
      <c r="J728" s="5"/>
      <c r="M728" s="5"/>
      <c r="N728" s="5"/>
      <c r="O728" s="238"/>
      <c r="P728" s="5"/>
      <c r="Q728" s="5"/>
      <c r="R728" s="5"/>
      <c r="S728" s="5"/>
      <c r="T728" s="5"/>
      <c r="U728" s="5"/>
      <c r="V728" s="5"/>
      <c r="W728" s="5"/>
      <c r="X728" s="5"/>
      <c r="Y728" s="5"/>
      <c r="Z728" s="5"/>
      <c r="AA728" s="5"/>
      <c r="AB728" s="5"/>
      <c r="AC728" s="5"/>
      <c r="AD728" s="5"/>
      <c r="AE728" s="5"/>
      <c r="AF728" s="5"/>
      <c r="AG728" s="5"/>
      <c r="AH728" s="5"/>
      <c r="AZ728" s="44"/>
    </row>
    <row r="729" spans="3:52" s="3" customFormat="1" ht="17.25" customHeight="1" x14ac:dyDescent="0.2">
      <c r="C729" s="5"/>
      <c r="D729" s="5"/>
      <c r="E729" s="5"/>
      <c r="F729" s="5"/>
      <c r="G729" s="5"/>
      <c r="H729" s="5"/>
      <c r="I729" s="5"/>
      <c r="J729" s="5"/>
      <c r="M729" s="5"/>
      <c r="N729" s="5"/>
      <c r="O729" s="238"/>
      <c r="P729" s="5"/>
      <c r="Q729" s="5"/>
      <c r="R729" s="5"/>
      <c r="S729" s="5"/>
      <c r="T729" s="5"/>
      <c r="U729" s="5"/>
      <c r="V729" s="5"/>
      <c r="W729" s="5"/>
      <c r="X729" s="5"/>
      <c r="Y729" s="5"/>
      <c r="Z729" s="5"/>
      <c r="AA729" s="5"/>
      <c r="AB729" s="5"/>
      <c r="AC729" s="5"/>
      <c r="AD729" s="5"/>
      <c r="AE729" s="5"/>
      <c r="AF729" s="5"/>
      <c r="AG729" s="5"/>
      <c r="AH729" s="5"/>
      <c r="AZ729" s="44"/>
    </row>
    <row r="730" spans="3:52" s="3" customFormat="1" ht="17.25" customHeight="1" x14ac:dyDescent="0.2">
      <c r="C730" s="5"/>
      <c r="D730" s="5"/>
      <c r="E730" s="5"/>
      <c r="F730" s="5"/>
      <c r="G730" s="5"/>
      <c r="H730" s="5"/>
      <c r="I730" s="5"/>
      <c r="J730" s="5"/>
      <c r="M730" s="5"/>
      <c r="N730" s="5"/>
      <c r="O730" s="238"/>
      <c r="P730" s="5"/>
      <c r="Q730" s="5"/>
      <c r="R730" s="5"/>
      <c r="S730" s="5"/>
      <c r="T730" s="5"/>
      <c r="U730" s="5"/>
      <c r="V730" s="5"/>
      <c r="W730" s="5"/>
      <c r="X730" s="5"/>
      <c r="Y730" s="5"/>
      <c r="Z730" s="5"/>
      <c r="AA730" s="5"/>
      <c r="AB730" s="5"/>
      <c r="AC730" s="5"/>
      <c r="AD730" s="5"/>
      <c r="AE730" s="5"/>
      <c r="AF730" s="5"/>
      <c r="AG730" s="5"/>
      <c r="AH730" s="5"/>
      <c r="AZ730" s="44"/>
    </row>
    <row r="731" spans="3:52" s="3" customFormat="1" ht="17.25" customHeight="1" x14ac:dyDescent="0.2">
      <c r="C731" s="5"/>
      <c r="D731" s="5"/>
      <c r="E731" s="5"/>
      <c r="F731" s="5"/>
      <c r="G731" s="5"/>
      <c r="H731" s="5"/>
      <c r="I731" s="5"/>
      <c r="J731" s="5"/>
      <c r="M731" s="5"/>
      <c r="N731" s="5"/>
      <c r="O731" s="238"/>
      <c r="P731" s="5"/>
      <c r="Q731" s="5"/>
      <c r="R731" s="5"/>
      <c r="S731" s="5"/>
      <c r="T731" s="5"/>
      <c r="U731" s="5"/>
      <c r="V731" s="5"/>
      <c r="W731" s="5"/>
      <c r="X731" s="5"/>
      <c r="Y731" s="5"/>
      <c r="Z731" s="5"/>
      <c r="AA731" s="5"/>
      <c r="AB731" s="5"/>
      <c r="AC731" s="5"/>
      <c r="AD731" s="5"/>
      <c r="AE731" s="5"/>
      <c r="AF731" s="5"/>
      <c r="AG731" s="5"/>
      <c r="AH731" s="5"/>
      <c r="AZ731" s="44"/>
    </row>
    <row r="732" spans="3:52" s="3" customFormat="1" ht="17.25" customHeight="1" x14ac:dyDescent="0.2">
      <c r="C732" s="5"/>
      <c r="D732" s="5"/>
      <c r="E732" s="5"/>
      <c r="F732" s="5"/>
      <c r="G732" s="5"/>
      <c r="H732" s="5"/>
      <c r="I732" s="5"/>
      <c r="J732" s="5"/>
      <c r="M732" s="5"/>
      <c r="N732" s="5"/>
      <c r="O732" s="238"/>
      <c r="P732" s="5"/>
      <c r="Q732" s="5"/>
      <c r="R732" s="5"/>
      <c r="S732" s="5"/>
      <c r="T732" s="5"/>
      <c r="U732" s="5"/>
      <c r="V732" s="5"/>
      <c r="W732" s="5"/>
      <c r="X732" s="5"/>
      <c r="Y732" s="5"/>
      <c r="Z732" s="5"/>
      <c r="AA732" s="5"/>
      <c r="AB732" s="5"/>
      <c r="AC732" s="5"/>
      <c r="AD732" s="5"/>
      <c r="AE732" s="5"/>
      <c r="AF732" s="5"/>
      <c r="AG732" s="5"/>
      <c r="AH732" s="5"/>
      <c r="AZ732" s="44"/>
    </row>
    <row r="733" spans="3:52" s="3" customFormat="1" ht="17.25" customHeight="1" x14ac:dyDescent="0.2">
      <c r="C733" s="5"/>
      <c r="D733" s="5"/>
      <c r="E733" s="5"/>
      <c r="F733" s="5"/>
      <c r="G733" s="5"/>
      <c r="H733" s="5"/>
      <c r="I733" s="5"/>
      <c r="J733" s="5"/>
      <c r="M733" s="5"/>
      <c r="N733" s="5"/>
      <c r="O733" s="238"/>
      <c r="P733" s="5"/>
      <c r="Q733" s="5"/>
      <c r="R733" s="5"/>
      <c r="S733" s="5"/>
      <c r="T733" s="5"/>
      <c r="U733" s="5"/>
      <c r="V733" s="5"/>
      <c r="W733" s="5"/>
      <c r="X733" s="5"/>
      <c r="Y733" s="5"/>
      <c r="Z733" s="5"/>
      <c r="AA733" s="5"/>
      <c r="AB733" s="5"/>
      <c r="AC733" s="5"/>
      <c r="AD733" s="5"/>
      <c r="AE733" s="5"/>
      <c r="AF733" s="5"/>
      <c r="AG733" s="5"/>
      <c r="AH733" s="5"/>
      <c r="AZ733" s="44"/>
    </row>
    <row r="734" spans="3:52" s="3" customFormat="1" ht="17.25" customHeight="1" x14ac:dyDescent="0.2">
      <c r="C734" s="5"/>
      <c r="D734" s="5"/>
      <c r="E734" s="5"/>
      <c r="F734" s="5"/>
      <c r="G734" s="5"/>
      <c r="H734" s="5"/>
      <c r="I734" s="5"/>
      <c r="J734" s="5"/>
      <c r="M734" s="5"/>
      <c r="N734" s="5"/>
      <c r="O734" s="238"/>
      <c r="P734" s="5"/>
      <c r="Q734" s="5"/>
      <c r="R734" s="5"/>
      <c r="S734" s="5"/>
      <c r="T734" s="5"/>
      <c r="U734" s="5"/>
      <c r="V734" s="5"/>
      <c r="W734" s="5"/>
      <c r="X734" s="5"/>
      <c r="Y734" s="5"/>
      <c r="Z734" s="5"/>
      <c r="AA734" s="5"/>
      <c r="AB734" s="5"/>
      <c r="AC734" s="5"/>
      <c r="AD734" s="5"/>
      <c r="AE734" s="5"/>
      <c r="AF734" s="5"/>
      <c r="AG734" s="5"/>
      <c r="AH734" s="5"/>
      <c r="AZ734" s="44"/>
    </row>
    <row r="735" spans="3:52" s="3" customFormat="1" ht="17.25" customHeight="1" x14ac:dyDescent="0.2">
      <c r="C735" s="5"/>
      <c r="D735" s="5"/>
      <c r="E735" s="5"/>
      <c r="F735" s="5"/>
      <c r="G735" s="5"/>
      <c r="H735" s="5"/>
      <c r="I735" s="5"/>
      <c r="J735" s="5"/>
      <c r="M735" s="5"/>
      <c r="N735" s="5"/>
      <c r="O735" s="238"/>
      <c r="P735" s="5"/>
      <c r="Q735" s="5"/>
      <c r="R735" s="5"/>
      <c r="S735" s="5"/>
      <c r="T735" s="5"/>
      <c r="U735" s="5"/>
      <c r="V735" s="5"/>
      <c r="W735" s="5"/>
      <c r="X735" s="5"/>
      <c r="Y735" s="5"/>
      <c r="Z735" s="5"/>
      <c r="AA735" s="5"/>
      <c r="AB735" s="5"/>
      <c r="AC735" s="5"/>
      <c r="AD735" s="5"/>
      <c r="AE735" s="5"/>
      <c r="AF735" s="5"/>
      <c r="AG735" s="5"/>
      <c r="AH735" s="5"/>
      <c r="AZ735" s="44"/>
    </row>
    <row r="736" spans="3:52" s="3" customFormat="1" ht="17.25" customHeight="1" x14ac:dyDescent="0.2">
      <c r="C736" s="5"/>
      <c r="D736" s="5"/>
      <c r="E736" s="5"/>
      <c r="F736" s="5"/>
      <c r="G736" s="5"/>
      <c r="H736" s="5"/>
      <c r="I736" s="5"/>
      <c r="J736" s="5"/>
      <c r="M736" s="5"/>
      <c r="N736" s="5"/>
      <c r="O736" s="238"/>
      <c r="P736" s="5"/>
      <c r="Q736" s="5"/>
      <c r="R736" s="5"/>
      <c r="S736" s="5"/>
      <c r="T736" s="5"/>
      <c r="U736" s="5"/>
      <c r="V736" s="5"/>
      <c r="W736" s="5"/>
      <c r="X736" s="5"/>
      <c r="Y736" s="5"/>
      <c r="Z736" s="5"/>
      <c r="AA736" s="5"/>
      <c r="AB736" s="5"/>
      <c r="AC736" s="5"/>
      <c r="AD736" s="5"/>
      <c r="AE736" s="5"/>
      <c r="AF736" s="5"/>
      <c r="AG736" s="5"/>
      <c r="AH736" s="5"/>
      <c r="AZ736" s="44"/>
    </row>
    <row r="737" spans="1:52" s="3" customFormat="1" ht="17.25" customHeight="1" x14ac:dyDescent="0.2">
      <c r="C737" s="5"/>
      <c r="D737" s="5"/>
      <c r="E737" s="5"/>
      <c r="F737" s="5"/>
      <c r="G737" s="5"/>
      <c r="H737" s="5"/>
      <c r="I737" s="5"/>
      <c r="J737" s="5"/>
      <c r="M737" s="5"/>
      <c r="N737" s="5"/>
      <c r="O737" s="238"/>
      <c r="P737" s="5"/>
      <c r="Q737" s="5"/>
      <c r="R737" s="5"/>
      <c r="S737" s="5"/>
      <c r="T737" s="5"/>
      <c r="U737" s="5"/>
      <c r="V737" s="5"/>
      <c r="W737" s="5"/>
      <c r="X737" s="5"/>
      <c r="Y737" s="5"/>
      <c r="Z737" s="5"/>
      <c r="AA737" s="5"/>
      <c r="AB737" s="5"/>
      <c r="AC737" s="5"/>
      <c r="AD737" s="5"/>
      <c r="AE737" s="5"/>
      <c r="AF737" s="5"/>
      <c r="AG737" s="5"/>
      <c r="AH737" s="5"/>
      <c r="AZ737" s="44"/>
    </row>
    <row r="738" spans="1:52" s="3" customFormat="1" ht="17.25" customHeight="1" x14ac:dyDescent="0.2">
      <c r="C738" s="5"/>
      <c r="D738" s="5"/>
      <c r="E738" s="5"/>
      <c r="F738" s="5"/>
      <c r="G738" s="5"/>
      <c r="H738" s="5"/>
      <c r="I738" s="5"/>
      <c r="J738" s="5"/>
      <c r="M738" s="5"/>
      <c r="N738" s="5"/>
      <c r="O738" s="238"/>
      <c r="P738" s="5"/>
      <c r="Q738" s="5"/>
      <c r="R738" s="5"/>
      <c r="S738" s="5"/>
      <c r="T738" s="5"/>
      <c r="U738" s="5"/>
      <c r="V738" s="5"/>
      <c r="W738" s="5"/>
      <c r="X738" s="5"/>
      <c r="Y738" s="5"/>
      <c r="Z738" s="5"/>
      <c r="AA738" s="5"/>
      <c r="AB738" s="5"/>
      <c r="AC738" s="5"/>
      <c r="AD738" s="5"/>
      <c r="AE738" s="5"/>
      <c r="AF738" s="5"/>
      <c r="AG738" s="5"/>
      <c r="AH738" s="5"/>
      <c r="AZ738" s="44"/>
    </row>
    <row r="739" spans="1:52" s="3" customFormat="1" ht="17.25" customHeight="1" x14ac:dyDescent="0.2">
      <c r="C739" s="5"/>
      <c r="D739" s="5"/>
      <c r="E739" s="5"/>
      <c r="F739" s="5"/>
      <c r="G739" s="5"/>
      <c r="H739" s="5"/>
      <c r="I739" s="5"/>
      <c r="J739" s="5"/>
      <c r="M739" s="5"/>
      <c r="N739" s="5"/>
      <c r="O739" s="238"/>
      <c r="P739" s="5"/>
      <c r="Q739" s="5"/>
      <c r="R739" s="5"/>
      <c r="S739" s="5"/>
      <c r="T739" s="5"/>
      <c r="U739" s="5"/>
      <c r="V739" s="5"/>
      <c r="W739" s="5"/>
      <c r="X739" s="5"/>
      <c r="Y739" s="5"/>
      <c r="Z739" s="5"/>
      <c r="AA739" s="5"/>
      <c r="AB739" s="5"/>
      <c r="AC739" s="5"/>
      <c r="AD739" s="5"/>
      <c r="AE739" s="5"/>
      <c r="AF739" s="5"/>
      <c r="AG739" s="5"/>
      <c r="AH739" s="5"/>
      <c r="AZ739" s="44"/>
    </row>
    <row r="740" spans="1:52" s="3" customFormat="1" ht="17.25" customHeight="1" x14ac:dyDescent="0.2">
      <c r="C740" s="5"/>
      <c r="D740" s="5"/>
      <c r="E740" s="5"/>
      <c r="F740" s="5"/>
      <c r="G740" s="5"/>
      <c r="H740" s="5"/>
      <c r="I740" s="5"/>
      <c r="J740" s="5"/>
      <c r="M740" s="5"/>
      <c r="N740" s="5"/>
      <c r="O740" s="238"/>
      <c r="P740" s="5"/>
      <c r="Q740" s="5"/>
      <c r="R740" s="5"/>
      <c r="S740" s="5"/>
      <c r="T740" s="5"/>
      <c r="U740" s="5"/>
      <c r="V740" s="5"/>
      <c r="W740" s="5"/>
      <c r="X740" s="5"/>
      <c r="Y740" s="5"/>
      <c r="Z740" s="5"/>
      <c r="AA740" s="5"/>
      <c r="AB740" s="5"/>
      <c r="AC740" s="5"/>
      <c r="AD740" s="5"/>
      <c r="AE740" s="5"/>
      <c r="AF740" s="5"/>
      <c r="AG740" s="5"/>
      <c r="AH740" s="5"/>
      <c r="AZ740" s="44"/>
    </row>
    <row r="741" spans="1:52" s="3" customFormat="1" ht="17.25" customHeight="1" x14ac:dyDescent="0.2">
      <c r="C741" s="5"/>
      <c r="D741" s="5"/>
      <c r="E741" s="5"/>
      <c r="F741" s="5"/>
      <c r="G741" s="5"/>
      <c r="H741" s="5"/>
      <c r="I741" s="5"/>
      <c r="J741" s="5"/>
      <c r="M741" s="5"/>
      <c r="N741" s="5"/>
      <c r="O741" s="238"/>
      <c r="P741" s="5"/>
      <c r="Q741" s="5"/>
      <c r="R741" s="5"/>
      <c r="S741" s="5"/>
      <c r="T741" s="5"/>
      <c r="U741" s="5"/>
      <c r="V741" s="5"/>
      <c r="W741" s="5"/>
      <c r="X741" s="5"/>
      <c r="Y741" s="5"/>
      <c r="Z741" s="5"/>
      <c r="AA741" s="5"/>
      <c r="AB741" s="5"/>
      <c r="AC741" s="5"/>
      <c r="AD741" s="5"/>
      <c r="AE741" s="5"/>
      <c r="AF741" s="5"/>
      <c r="AG741" s="5"/>
      <c r="AH741" s="5"/>
      <c r="AZ741" s="44"/>
    </row>
    <row r="742" spans="1:52" s="3" customFormat="1" ht="17.25" customHeight="1" x14ac:dyDescent="0.2">
      <c r="C742" s="5"/>
      <c r="D742" s="5"/>
      <c r="E742" s="5"/>
      <c r="F742" s="5"/>
      <c r="G742" s="5"/>
      <c r="H742" s="5"/>
      <c r="I742" s="5"/>
      <c r="J742" s="5"/>
      <c r="M742" s="5"/>
      <c r="N742" s="5"/>
      <c r="O742" s="238"/>
      <c r="P742" s="5"/>
      <c r="Q742" s="5"/>
      <c r="R742" s="5"/>
      <c r="S742" s="5"/>
      <c r="T742" s="5"/>
      <c r="U742" s="5"/>
      <c r="V742" s="5"/>
      <c r="W742" s="5"/>
      <c r="X742" s="5"/>
      <c r="Y742" s="5"/>
      <c r="Z742" s="5"/>
      <c r="AA742" s="5"/>
      <c r="AB742" s="5"/>
      <c r="AC742" s="5"/>
      <c r="AD742" s="5"/>
      <c r="AE742" s="5"/>
      <c r="AF742" s="5"/>
      <c r="AG742" s="5"/>
      <c r="AH742" s="5"/>
      <c r="AZ742" s="44"/>
    </row>
    <row r="743" spans="1:52" s="3" customFormat="1" ht="17.25" customHeight="1" x14ac:dyDescent="0.2">
      <c r="C743" s="5"/>
      <c r="D743" s="5"/>
      <c r="E743" s="5"/>
      <c r="F743" s="5"/>
      <c r="G743" s="5"/>
      <c r="H743" s="5"/>
      <c r="I743" s="5"/>
      <c r="J743" s="5"/>
      <c r="M743" s="5"/>
      <c r="N743" s="5"/>
      <c r="O743" s="238"/>
      <c r="P743" s="5"/>
      <c r="Q743" s="5"/>
      <c r="R743" s="5"/>
      <c r="S743" s="5"/>
      <c r="T743" s="5"/>
      <c r="U743" s="5"/>
      <c r="V743" s="5"/>
      <c r="W743" s="5"/>
      <c r="X743" s="5"/>
      <c r="Y743" s="5"/>
      <c r="Z743" s="5"/>
      <c r="AA743" s="5"/>
      <c r="AB743" s="5"/>
      <c r="AC743" s="5"/>
      <c r="AD743" s="5"/>
      <c r="AE743" s="5"/>
      <c r="AF743" s="5"/>
      <c r="AG743" s="5"/>
      <c r="AH743" s="5"/>
      <c r="AZ743" s="44"/>
    </row>
    <row r="744" spans="1:52" s="9" customFormat="1" ht="18" customHeight="1" x14ac:dyDescent="0.2">
      <c r="A744" s="117" t="s">
        <v>468</v>
      </c>
      <c r="B744" s="7"/>
      <c r="C744" s="7"/>
      <c r="D744" s="8"/>
      <c r="E744" s="8"/>
      <c r="F744" s="8"/>
      <c r="G744" s="8"/>
      <c r="O744" s="179"/>
    </row>
    <row r="745" spans="1:52" s="9" customFormat="1" ht="18" customHeight="1" x14ac:dyDescent="0.2">
      <c r="A745" s="117"/>
      <c r="B745" s="7"/>
      <c r="C745" s="7"/>
      <c r="D745" s="8"/>
      <c r="E745" s="8"/>
      <c r="F745" s="8"/>
      <c r="G745" s="8"/>
      <c r="O745" s="179"/>
    </row>
    <row r="746" spans="1:52" s="9" customFormat="1" ht="17.25" customHeight="1" x14ac:dyDescent="0.2">
      <c r="A746" s="9" t="s">
        <v>4</v>
      </c>
      <c r="I746" s="28"/>
      <c r="O746" s="179"/>
      <c r="P746" s="40"/>
      <c r="Q746" s="40"/>
      <c r="R746" s="40"/>
      <c r="S746" s="40"/>
      <c r="T746" s="40"/>
    </row>
    <row r="747" spans="1:52" s="9" customFormat="1" ht="17.25" customHeight="1" x14ac:dyDescent="0.2">
      <c r="B747" s="28" t="s">
        <v>126</v>
      </c>
      <c r="C747" s="272">
        <v>1.4510000000000001</v>
      </c>
      <c r="D747" s="272"/>
      <c r="E747" s="27" t="s">
        <v>128</v>
      </c>
      <c r="F747" s="27"/>
      <c r="G747" s="27"/>
      <c r="I747" s="28"/>
      <c r="O747" s="179"/>
      <c r="P747" s="40"/>
      <c r="Q747" s="40"/>
      <c r="R747" s="40"/>
      <c r="S747" s="40"/>
      <c r="T747" s="40"/>
    </row>
    <row r="748" spans="1:52" s="9" customFormat="1" ht="17.25" customHeight="1" x14ac:dyDescent="0.2">
      <c r="B748" s="28" t="s">
        <v>96</v>
      </c>
      <c r="C748" s="273">
        <f>$B$76</f>
        <v>210</v>
      </c>
      <c r="D748" s="273"/>
      <c r="E748" s="9" t="s">
        <v>97</v>
      </c>
      <c r="I748" s="28"/>
      <c r="O748" s="179"/>
      <c r="P748" s="40"/>
      <c r="Q748" s="40"/>
      <c r="R748" s="40"/>
      <c r="S748" s="40"/>
      <c r="T748" s="40"/>
    </row>
    <row r="749" spans="1:52" s="9" customFormat="1" ht="17.25" customHeight="1" x14ac:dyDescent="0.2">
      <c r="B749" s="28" t="s">
        <v>105</v>
      </c>
      <c r="C749" s="273">
        <f>$B$78</f>
        <v>4200</v>
      </c>
      <c r="D749" s="273"/>
      <c r="E749" s="3" t="s">
        <v>106</v>
      </c>
      <c r="F749" s="3"/>
      <c r="G749" s="3"/>
      <c r="I749" s="28"/>
      <c r="O749" s="179"/>
      <c r="P749" s="40"/>
      <c r="Q749" s="40"/>
      <c r="R749" s="40"/>
      <c r="S749" s="40"/>
      <c r="T749" s="40"/>
    </row>
    <row r="750" spans="1:52" s="9" customFormat="1" ht="17.25" customHeight="1" x14ac:dyDescent="0.2">
      <c r="A750" s="282" t="s">
        <v>79</v>
      </c>
      <c r="B750" s="282"/>
      <c r="C750" s="274">
        <v>0.9</v>
      </c>
      <c r="D750" s="274"/>
      <c r="E750" s="9" t="s">
        <v>93</v>
      </c>
      <c r="N750" s="28" t="s">
        <v>5</v>
      </c>
      <c r="O750" s="179"/>
    </row>
    <row r="751" spans="1:52" s="9" customFormat="1" ht="17.25" customHeight="1" x14ac:dyDescent="0.2">
      <c r="A751" s="282" t="s">
        <v>80</v>
      </c>
      <c r="B751" s="282"/>
      <c r="C751" s="275">
        <v>100</v>
      </c>
      <c r="D751" s="275"/>
      <c r="E751" s="9" t="s">
        <v>182</v>
      </c>
      <c r="O751" s="283">
        <f>C750*C748*C751*C752^2</f>
        <v>7560000</v>
      </c>
      <c r="P751" s="284"/>
      <c r="Q751" s="284"/>
      <c r="R751" s="285"/>
    </row>
    <row r="752" spans="1:52" s="9" customFormat="1" ht="17.25" customHeight="1" x14ac:dyDescent="0.2">
      <c r="A752" s="282" t="s">
        <v>81</v>
      </c>
      <c r="B752" s="282"/>
      <c r="C752" s="268">
        <f>25-J752</f>
        <v>20</v>
      </c>
      <c r="D752" s="268"/>
      <c r="E752" s="9" t="s">
        <v>482</v>
      </c>
      <c r="I752" s="28" t="s">
        <v>191</v>
      </c>
      <c r="J752" s="23">
        <v>5</v>
      </c>
      <c r="N752" s="28" t="s">
        <v>82</v>
      </c>
      <c r="O752" s="283">
        <f>C755*100</f>
        <v>188630</v>
      </c>
      <c r="P752" s="284"/>
      <c r="Q752" s="284"/>
      <c r="R752" s="285"/>
      <c r="W752" s="9" t="s">
        <v>83</v>
      </c>
    </row>
    <row r="753" spans="1:52" s="9" customFormat="1" ht="17.25" customHeight="1" x14ac:dyDescent="0.2">
      <c r="A753" s="282" t="s">
        <v>95</v>
      </c>
      <c r="B753" s="282"/>
      <c r="C753" s="269" t="s">
        <v>84</v>
      </c>
      <c r="D753" s="269"/>
      <c r="E753" s="9" t="s">
        <v>94</v>
      </c>
      <c r="O753" s="179"/>
    </row>
    <row r="754" spans="1:52" s="9" customFormat="1" ht="17.25" customHeight="1" x14ac:dyDescent="0.2">
      <c r="C754" s="8"/>
      <c r="O754" s="179"/>
    </row>
    <row r="755" spans="1:52" s="9" customFormat="1" ht="17.25" customHeight="1" x14ac:dyDescent="0.2">
      <c r="A755" s="9" t="s">
        <v>85</v>
      </c>
      <c r="B755" s="25" t="s">
        <v>86</v>
      </c>
      <c r="C755" s="267">
        <f>C747*1000*1.3</f>
        <v>1886.3</v>
      </c>
      <c r="D755" s="267"/>
      <c r="E755" s="9" t="s">
        <v>92</v>
      </c>
      <c r="I755" s="9" t="s">
        <v>88</v>
      </c>
      <c r="K755" s="28" t="s">
        <v>89</v>
      </c>
      <c r="L755" s="79">
        <f>(O751+((O751)^2-2.36*O751*O752)^(1/2))/(1.18*O751)</f>
        <v>1.6695856588796507</v>
      </c>
      <c r="O755" s="179"/>
    </row>
    <row r="756" spans="1:52" s="9" customFormat="1" ht="17.25" customHeight="1" thickBot="1" x14ac:dyDescent="0.25">
      <c r="K756" s="28" t="s">
        <v>90</v>
      </c>
      <c r="L756" s="79">
        <f>(O751-((O751)^2-2.36*O751*O752)^(1/2))/(1.18*O751)</f>
        <v>2.5329595357637326E-2</v>
      </c>
      <c r="O756" s="179"/>
    </row>
    <row r="757" spans="1:52" s="3" customFormat="1" ht="17.25" customHeight="1" x14ac:dyDescent="0.2">
      <c r="A757" s="3" t="s">
        <v>91</v>
      </c>
      <c r="E757" s="51" t="s">
        <v>107</v>
      </c>
      <c r="F757" s="80" t="s">
        <v>98</v>
      </c>
      <c r="H757" s="25"/>
      <c r="I757" s="39" t="s">
        <v>104</v>
      </c>
      <c r="J757" s="81">
        <f>MIN(L755:L756)*C748/C749</f>
        <v>1.2664797678818664E-3</v>
      </c>
      <c r="O757" s="232"/>
      <c r="AZ757" s="44"/>
    </row>
    <row r="758" spans="1:52" s="3" customFormat="1" ht="17.25" customHeight="1" thickBot="1" x14ac:dyDescent="0.25">
      <c r="E758" s="37"/>
      <c r="F758" s="53" t="s">
        <v>62</v>
      </c>
      <c r="G758" s="43"/>
      <c r="M758" s="5"/>
      <c r="N758" s="5"/>
      <c r="O758" s="238"/>
      <c r="P758" s="5"/>
      <c r="Q758" s="5"/>
      <c r="R758" s="5"/>
      <c r="S758" s="5"/>
      <c r="T758" s="5"/>
      <c r="U758" s="5"/>
      <c r="V758" s="5"/>
      <c r="W758" s="5"/>
      <c r="X758" s="5"/>
      <c r="Y758" s="5"/>
      <c r="Z758" s="5"/>
      <c r="AA758" s="5"/>
      <c r="AB758" s="5"/>
      <c r="AC758" s="5"/>
      <c r="AD758" s="5"/>
      <c r="AE758" s="5"/>
      <c r="AF758" s="5"/>
      <c r="AG758" s="5"/>
      <c r="AH758" s="5"/>
      <c r="AZ758" s="44"/>
    </row>
    <row r="759" spans="1:52" s="3" customFormat="1" ht="17.25" customHeight="1" thickBot="1" x14ac:dyDescent="0.25">
      <c r="E759" s="43"/>
      <c r="F759" s="43"/>
      <c r="G759" s="43"/>
      <c r="M759" s="5"/>
      <c r="N759" s="5"/>
      <c r="O759" s="238"/>
      <c r="P759" s="5"/>
      <c r="Q759" s="5"/>
      <c r="R759" s="5"/>
      <c r="S759" s="5"/>
      <c r="T759" s="5"/>
      <c r="U759" s="5"/>
      <c r="V759" s="5"/>
      <c r="W759" s="5"/>
      <c r="X759" s="5"/>
      <c r="Y759" s="5"/>
      <c r="Z759" s="5"/>
      <c r="AA759" s="5"/>
      <c r="AB759" s="5"/>
      <c r="AC759" s="5"/>
      <c r="AD759" s="5"/>
      <c r="AE759" s="5"/>
      <c r="AF759" s="5"/>
      <c r="AG759" s="5"/>
      <c r="AH759" s="5"/>
      <c r="AZ759" s="44"/>
    </row>
    <row r="760" spans="1:52" s="3" customFormat="1" ht="17.25" customHeight="1" thickBot="1" x14ac:dyDescent="0.25">
      <c r="A760" s="3" t="s">
        <v>99</v>
      </c>
      <c r="E760" s="68" t="s">
        <v>108</v>
      </c>
      <c r="F760" s="70" t="s">
        <v>100</v>
      </c>
      <c r="H760" s="25"/>
      <c r="I760" s="39" t="s">
        <v>109</v>
      </c>
      <c r="J760" s="82">
        <f>J757*C752*C751</f>
        <v>2.5329595357637329</v>
      </c>
      <c r="M760" s="5"/>
      <c r="N760" s="5"/>
      <c r="O760" s="238"/>
      <c r="P760" s="5"/>
      <c r="Q760" s="5"/>
      <c r="R760" s="5"/>
      <c r="S760" s="5"/>
      <c r="T760" s="5"/>
      <c r="U760" s="5"/>
      <c r="V760" s="5"/>
      <c r="W760" s="5"/>
      <c r="X760" s="5"/>
      <c r="Y760" s="5"/>
      <c r="Z760" s="5"/>
      <c r="AA760" s="5"/>
      <c r="AB760" s="5"/>
      <c r="AC760" s="5"/>
      <c r="AD760" s="5"/>
      <c r="AE760" s="5"/>
      <c r="AF760" s="5"/>
      <c r="AG760" s="5"/>
      <c r="AH760" s="5"/>
      <c r="AZ760" s="44"/>
    </row>
    <row r="761" spans="1:52" s="3" customFormat="1" ht="17.25" customHeight="1" thickBot="1" x14ac:dyDescent="0.25">
      <c r="K761" s="83"/>
      <c r="L761" s="83"/>
      <c r="M761" s="5"/>
      <c r="N761" s="5"/>
      <c r="O761" s="238"/>
      <c r="P761" s="5"/>
      <c r="Q761" s="5"/>
      <c r="R761" s="5"/>
      <c r="S761" s="5"/>
      <c r="T761" s="5"/>
      <c r="U761" s="5"/>
      <c r="V761" s="5"/>
      <c r="W761" s="5"/>
      <c r="X761" s="5"/>
      <c r="Y761" s="5"/>
      <c r="Z761" s="5"/>
      <c r="AA761" s="5"/>
      <c r="AB761" s="5"/>
      <c r="AC761" s="5"/>
      <c r="AD761" s="5"/>
      <c r="AE761" s="5"/>
      <c r="AF761" s="5"/>
      <c r="AG761" s="5"/>
      <c r="AH761" s="5"/>
      <c r="AZ761" s="44"/>
    </row>
    <row r="762" spans="1:52" s="3" customFormat="1" ht="17.25" customHeight="1" x14ac:dyDescent="0.2">
      <c r="A762" s="3" t="s">
        <v>101</v>
      </c>
      <c r="E762" s="51" t="s">
        <v>110</v>
      </c>
      <c r="F762" s="80" t="s">
        <v>102</v>
      </c>
      <c r="G762" s="43"/>
      <c r="H762" s="25" t="str">
        <f>"======&gt;"</f>
        <v>======&gt;</v>
      </c>
      <c r="I762" s="39" t="s">
        <v>111</v>
      </c>
      <c r="J762" s="82">
        <f>14*C752*C751/C749</f>
        <v>6.666666666666667</v>
      </c>
      <c r="M762" s="5"/>
      <c r="N762" s="5"/>
      <c r="O762" s="238"/>
      <c r="P762" s="5"/>
      <c r="Q762" s="5"/>
      <c r="R762" s="5"/>
      <c r="S762" s="5"/>
      <c r="T762" s="5"/>
      <c r="U762" s="5"/>
      <c r="V762" s="5"/>
      <c r="W762" s="5"/>
      <c r="X762" s="5"/>
      <c r="Y762" s="5"/>
      <c r="Z762" s="5"/>
      <c r="AA762" s="5"/>
      <c r="AB762" s="5"/>
      <c r="AC762" s="5"/>
      <c r="AD762" s="5"/>
      <c r="AE762" s="5"/>
      <c r="AF762" s="5"/>
      <c r="AG762" s="5"/>
      <c r="AH762" s="5"/>
      <c r="AZ762" s="44"/>
    </row>
    <row r="763" spans="1:52" s="3" customFormat="1" ht="17.25" customHeight="1" thickBot="1" x14ac:dyDescent="0.25">
      <c r="E763" s="37"/>
      <c r="F763" s="53" t="s">
        <v>62</v>
      </c>
      <c r="M763" s="5"/>
      <c r="N763" s="5"/>
      <c r="O763" s="238"/>
      <c r="P763" s="5"/>
      <c r="Q763" s="5"/>
      <c r="R763" s="5"/>
      <c r="S763" s="5"/>
      <c r="T763" s="5"/>
      <c r="U763" s="5"/>
      <c r="V763" s="5"/>
      <c r="W763" s="5"/>
      <c r="X763" s="5"/>
      <c r="Y763" s="5"/>
      <c r="Z763" s="5"/>
      <c r="AA763" s="5"/>
      <c r="AB763" s="5"/>
      <c r="AC763" s="5"/>
      <c r="AD763" s="5"/>
      <c r="AE763" s="5"/>
      <c r="AF763" s="5"/>
      <c r="AG763" s="5"/>
      <c r="AH763" s="5"/>
      <c r="AZ763" s="44"/>
    </row>
    <row r="764" spans="1:52" s="3" customFormat="1" ht="17.25" customHeight="1" thickBot="1" x14ac:dyDescent="0.25">
      <c r="E764" s="43"/>
      <c r="F764" s="43"/>
      <c r="G764" s="43"/>
      <c r="M764" s="5"/>
      <c r="N764" s="5"/>
      <c r="O764" s="238"/>
      <c r="P764" s="5"/>
      <c r="Q764" s="5"/>
      <c r="R764" s="5"/>
      <c r="S764" s="5"/>
      <c r="T764" s="5"/>
      <c r="U764" s="5"/>
      <c r="V764" s="5"/>
      <c r="W764" s="5"/>
      <c r="X764" s="5"/>
      <c r="Y764" s="5"/>
      <c r="Z764" s="5"/>
      <c r="AA764" s="5"/>
      <c r="AB764" s="5"/>
      <c r="AC764" s="5"/>
      <c r="AD764" s="5"/>
      <c r="AE764" s="5"/>
      <c r="AF764" s="5"/>
      <c r="AG764" s="5"/>
      <c r="AH764" s="5"/>
      <c r="AZ764" s="44"/>
    </row>
    <row r="765" spans="1:52" s="3" customFormat="1" ht="17.25" customHeight="1" thickBot="1" x14ac:dyDescent="0.25">
      <c r="C765" s="13" t="s">
        <v>103</v>
      </c>
      <c r="E765" s="180" t="s">
        <v>113</v>
      </c>
      <c r="F765" s="270">
        <f>MAX(J760,J762)</f>
        <v>6.666666666666667</v>
      </c>
      <c r="G765" s="270"/>
      <c r="H765" s="271"/>
      <c r="M765" s="5"/>
      <c r="N765" s="5"/>
      <c r="O765" s="238"/>
      <c r="P765" s="5"/>
      <c r="Q765" s="5"/>
      <c r="R765" s="5"/>
      <c r="S765" s="5"/>
      <c r="T765" s="5"/>
      <c r="U765" s="5"/>
      <c r="V765" s="5"/>
      <c r="W765" s="5"/>
      <c r="X765" s="5"/>
      <c r="Y765" s="5"/>
      <c r="Z765" s="5"/>
      <c r="AA765" s="5"/>
      <c r="AB765" s="5"/>
      <c r="AC765" s="5"/>
      <c r="AD765" s="5"/>
      <c r="AE765" s="5"/>
      <c r="AF765" s="5"/>
      <c r="AG765" s="5"/>
      <c r="AH765" s="5"/>
      <c r="AZ765" s="44"/>
    </row>
    <row r="766" spans="1:52" s="3" customFormat="1" ht="17.25" customHeight="1" x14ac:dyDescent="0.2">
      <c r="H766" s="5"/>
      <c r="I766" s="5"/>
      <c r="J766" s="5"/>
      <c r="M766" s="5"/>
      <c r="N766" s="5"/>
      <c r="O766" s="238"/>
      <c r="P766" s="5"/>
      <c r="Q766" s="5"/>
      <c r="R766" s="5"/>
      <c r="S766" s="5"/>
      <c r="T766" s="5"/>
      <c r="U766" s="5"/>
      <c r="V766" s="5"/>
      <c r="W766" s="5"/>
      <c r="X766" s="5"/>
      <c r="Y766" s="5"/>
      <c r="Z766" s="5"/>
      <c r="AA766" s="5"/>
      <c r="AB766" s="5"/>
      <c r="AC766" s="5"/>
      <c r="AD766" s="5"/>
      <c r="AE766" s="5"/>
      <c r="AF766" s="5"/>
      <c r="AG766" s="5"/>
      <c r="AH766" s="5"/>
      <c r="AZ766" s="44"/>
    </row>
    <row r="767" spans="1:52" ht="17.25" customHeight="1" x14ac:dyDescent="0.2">
      <c r="A767" s="6"/>
      <c r="B767" s="5"/>
      <c r="C767" s="5"/>
      <c r="D767" s="5"/>
      <c r="E767" s="5"/>
      <c r="F767" s="5"/>
      <c r="G767" s="5"/>
      <c r="H767" s="5"/>
      <c r="I767" s="5"/>
      <c r="J767" s="5"/>
      <c r="K767" s="5"/>
      <c r="L767" s="5"/>
      <c r="M767" s="5"/>
      <c r="N767" s="5"/>
      <c r="O767" s="238">
        <v>0.122</v>
      </c>
      <c r="P767" s="5"/>
      <c r="Q767" s="5"/>
      <c r="R767" s="5"/>
      <c r="S767" s="5"/>
      <c r="T767" s="5"/>
      <c r="U767" s="5"/>
      <c r="V767" s="5"/>
      <c r="W767" s="5"/>
      <c r="X767" s="5"/>
      <c r="Y767" s="5"/>
      <c r="Z767" s="5"/>
      <c r="AA767" s="5"/>
      <c r="AB767" s="5"/>
      <c r="AC767" s="5"/>
      <c r="AD767" s="5"/>
      <c r="AE767" s="5"/>
      <c r="AF767" s="5"/>
      <c r="AG767" s="5"/>
      <c r="AH767" s="5"/>
    </row>
    <row r="768" spans="1:52" ht="17.25" customHeight="1" x14ac:dyDescent="0.2">
      <c r="A768" s="6"/>
      <c r="B768" s="5"/>
      <c r="C768" s="5"/>
      <c r="D768" s="5"/>
      <c r="E768" s="5"/>
      <c r="F768" s="5"/>
      <c r="G768" s="5"/>
      <c r="H768" s="5"/>
      <c r="I768" s="5"/>
      <c r="J768" s="5"/>
      <c r="K768" s="5"/>
      <c r="L768" s="5"/>
      <c r="M768" s="5"/>
      <c r="N768" s="5"/>
      <c r="O768" s="238"/>
      <c r="P768" s="5"/>
      <c r="Q768" s="5"/>
      <c r="R768" s="5"/>
      <c r="S768" s="5"/>
      <c r="T768" s="5"/>
      <c r="U768" s="5"/>
      <c r="V768" s="5"/>
      <c r="W768" s="5"/>
      <c r="X768" s="5"/>
      <c r="Y768" s="5"/>
      <c r="Z768" s="5"/>
      <c r="AA768" s="5"/>
      <c r="AB768" s="5"/>
      <c r="AC768" s="5"/>
      <c r="AD768" s="5"/>
      <c r="AE768" s="5"/>
      <c r="AF768" s="5"/>
      <c r="AG768" s="5"/>
      <c r="AH768" s="5"/>
    </row>
    <row r="769" spans="1:52" ht="17.25" customHeight="1" x14ac:dyDescent="0.2">
      <c r="A769" s="6"/>
      <c r="B769" s="5"/>
      <c r="C769" s="5"/>
      <c r="D769" s="5"/>
      <c r="E769" s="5"/>
      <c r="F769" s="5"/>
      <c r="G769" s="5"/>
      <c r="H769" s="5"/>
      <c r="I769" s="5"/>
      <c r="J769" s="5"/>
      <c r="K769" s="5"/>
      <c r="L769" s="5"/>
      <c r="M769" s="5"/>
      <c r="N769" s="5"/>
      <c r="O769" s="238"/>
      <c r="P769" s="5"/>
      <c r="Q769" s="5"/>
      <c r="R769" s="5"/>
      <c r="S769" s="5"/>
      <c r="T769" s="5"/>
      <c r="U769" s="5"/>
      <c r="V769" s="5"/>
      <c r="W769" s="5"/>
      <c r="X769" s="5"/>
      <c r="Y769" s="5"/>
      <c r="Z769" s="5"/>
      <c r="AA769" s="5"/>
      <c r="AB769" s="5"/>
      <c r="AC769" s="5"/>
      <c r="AD769" s="5"/>
      <c r="AE769" s="5"/>
      <c r="AF769" s="5"/>
      <c r="AG769" s="5"/>
      <c r="AH769" s="5"/>
    </row>
    <row r="770" spans="1:52" ht="17.25" customHeight="1" x14ac:dyDescent="0.2">
      <c r="A770" s="6"/>
      <c r="B770" s="5"/>
      <c r="C770" s="5"/>
      <c r="D770" s="5"/>
      <c r="E770" s="5"/>
      <c r="F770" s="5"/>
      <c r="G770" s="5"/>
      <c r="H770" s="5"/>
      <c r="I770" s="5"/>
      <c r="J770" s="5"/>
      <c r="K770" s="5"/>
      <c r="L770" s="5"/>
      <c r="M770" s="5"/>
      <c r="N770" s="5"/>
      <c r="O770" s="238"/>
      <c r="P770" s="5"/>
      <c r="Q770" s="5"/>
      <c r="R770" s="5"/>
      <c r="S770" s="5"/>
      <c r="T770" s="5"/>
      <c r="U770" s="5"/>
      <c r="V770" s="5"/>
      <c r="W770" s="5"/>
      <c r="X770" s="5"/>
      <c r="Y770" s="5"/>
      <c r="Z770" s="5"/>
      <c r="AA770" s="5"/>
      <c r="AB770" s="5"/>
      <c r="AC770" s="5"/>
      <c r="AD770" s="5"/>
      <c r="AE770" s="5"/>
      <c r="AF770" s="5"/>
      <c r="AG770" s="5"/>
      <c r="AH770" s="5"/>
    </row>
    <row r="771" spans="1:52" ht="17.25" customHeight="1" x14ac:dyDescent="0.2">
      <c r="A771" s="6"/>
      <c r="B771" s="5"/>
      <c r="C771" s="5"/>
      <c r="D771" s="5"/>
      <c r="E771" s="5"/>
      <c r="F771" s="5"/>
      <c r="G771" s="5"/>
      <c r="H771" s="5"/>
      <c r="I771" s="5"/>
      <c r="J771" s="5"/>
      <c r="K771" s="5"/>
      <c r="L771" s="5"/>
      <c r="M771" s="5"/>
      <c r="N771" s="5"/>
      <c r="O771" s="238"/>
      <c r="P771" s="5"/>
      <c r="Q771" s="5"/>
      <c r="R771" s="5"/>
      <c r="S771" s="5"/>
      <c r="T771" s="5"/>
      <c r="U771" s="5"/>
      <c r="V771" s="5"/>
      <c r="W771" s="5"/>
      <c r="X771" s="5"/>
      <c r="Y771" s="5"/>
      <c r="Z771" s="5"/>
      <c r="AA771" s="5"/>
      <c r="AB771" s="5"/>
      <c r="AC771" s="5"/>
      <c r="AD771" s="5"/>
      <c r="AE771" s="5"/>
      <c r="AF771" s="5"/>
      <c r="AG771" s="5"/>
      <c r="AH771" s="5"/>
    </row>
    <row r="772" spans="1:52" ht="17.25" customHeight="1" x14ac:dyDescent="0.2">
      <c r="A772" s="6"/>
      <c r="B772" s="5"/>
      <c r="C772" s="5"/>
      <c r="D772" s="5"/>
      <c r="E772" s="5"/>
      <c r="F772" s="5"/>
      <c r="G772" s="5"/>
      <c r="H772" s="5"/>
      <c r="I772" s="5"/>
      <c r="J772" s="5"/>
      <c r="K772" s="5"/>
      <c r="L772" s="5"/>
      <c r="M772" s="5"/>
      <c r="N772" s="5"/>
      <c r="O772" s="238"/>
      <c r="P772" s="5"/>
      <c r="Q772" s="5"/>
      <c r="R772" s="5"/>
      <c r="S772" s="5"/>
      <c r="T772" s="5"/>
      <c r="U772" s="5"/>
      <c r="V772" s="5"/>
      <c r="W772" s="5"/>
      <c r="X772" s="5"/>
      <c r="Y772" s="5"/>
      <c r="Z772" s="5"/>
      <c r="AA772" s="5"/>
      <c r="AB772" s="5"/>
      <c r="AC772" s="5"/>
      <c r="AD772" s="5"/>
      <c r="AE772" s="5"/>
      <c r="AF772" s="5"/>
      <c r="AG772" s="5"/>
      <c r="AH772" s="5"/>
    </row>
    <row r="773" spans="1:52" ht="17.25" customHeight="1" x14ac:dyDescent="0.2">
      <c r="A773" s="6"/>
      <c r="B773" s="5"/>
      <c r="C773" s="5"/>
      <c r="D773" s="5"/>
      <c r="E773" s="5"/>
      <c r="F773" s="5"/>
      <c r="G773" s="5"/>
      <c r="H773" s="5"/>
      <c r="I773" s="5"/>
      <c r="J773" s="5"/>
      <c r="K773" s="5"/>
      <c r="L773" s="5"/>
      <c r="M773" s="5"/>
      <c r="N773" s="5"/>
      <c r="O773" s="238"/>
      <c r="P773" s="5"/>
      <c r="Q773" s="5"/>
      <c r="R773" s="5"/>
      <c r="S773" s="5"/>
      <c r="T773" s="5"/>
      <c r="U773" s="5"/>
      <c r="V773" s="5"/>
      <c r="W773" s="5"/>
      <c r="X773" s="5"/>
      <c r="Y773" s="5"/>
      <c r="Z773" s="5"/>
      <c r="AA773" s="5"/>
      <c r="AB773" s="5"/>
      <c r="AC773" s="5"/>
      <c r="AD773" s="5"/>
      <c r="AE773" s="5"/>
      <c r="AF773" s="5"/>
      <c r="AG773" s="5"/>
      <c r="AH773" s="5"/>
    </row>
    <row r="774" spans="1:52" ht="17.25" customHeight="1" x14ac:dyDescent="0.2">
      <c r="A774" s="6"/>
      <c r="B774" s="5"/>
      <c r="C774" s="5"/>
      <c r="D774" s="5"/>
      <c r="E774" s="5"/>
      <c r="F774" s="5"/>
      <c r="G774" s="5"/>
      <c r="H774" s="5"/>
      <c r="I774" s="5"/>
      <c r="J774" s="5"/>
      <c r="K774" s="5"/>
      <c r="L774" s="5"/>
      <c r="M774" s="5"/>
      <c r="N774" s="5"/>
      <c r="O774" s="238"/>
      <c r="P774" s="5"/>
      <c r="Q774" s="5"/>
      <c r="R774" s="5"/>
      <c r="S774" s="5"/>
      <c r="T774" s="5"/>
      <c r="U774" s="5"/>
      <c r="V774" s="5"/>
      <c r="W774" s="5"/>
      <c r="X774" s="5"/>
      <c r="Y774" s="5"/>
      <c r="Z774" s="5"/>
      <c r="AA774" s="5"/>
      <c r="AB774" s="5"/>
      <c r="AC774" s="5"/>
      <c r="AD774" s="5"/>
      <c r="AE774" s="5"/>
      <c r="AF774" s="5"/>
      <c r="AG774" s="5"/>
      <c r="AH774" s="5"/>
    </row>
    <row r="775" spans="1:52" ht="17.25" customHeight="1" x14ac:dyDescent="0.2">
      <c r="A775" s="6"/>
      <c r="B775" s="5"/>
      <c r="C775" s="5"/>
      <c r="D775" s="5"/>
      <c r="E775" s="5"/>
      <c r="F775" s="5"/>
      <c r="G775" s="5"/>
      <c r="H775" s="5"/>
      <c r="I775" s="5"/>
      <c r="J775" s="5"/>
      <c r="K775" s="5"/>
      <c r="L775" s="5"/>
      <c r="M775" s="5"/>
      <c r="N775" s="5"/>
      <c r="O775" s="238"/>
      <c r="P775" s="5"/>
      <c r="Q775" s="5"/>
      <c r="R775" s="5"/>
      <c r="S775" s="5"/>
      <c r="T775" s="5"/>
      <c r="U775" s="5"/>
      <c r="V775" s="5"/>
      <c r="W775" s="5"/>
      <c r="X775" s="5"/>
      <c r="Y775" s="5"/>
      <c r="Z775" s="5"/>
      <c r="AA775" s="5"/>
      <c r="AB775" s="5"/>
      <c r="AC775" s="5"/>
      <c r="AD775" s="5"/>
      <c r="AE775" s="5"/>
      <c r="AF775" s="5"/>
      <c r="AG775" s="5"/>
      <c r="AH775" s="5"/>
    </row>
    <row r="776" spans="1:52" ht="17.25" customHeight="1" x14ac:dyDescent="0.2">
      <c r="A776" s="6"/>
      <c r="B776" s="5"/>
      <c r="C776" s="5"/>
      <c r="D776" s="5"/>
      <c r="E776" s="5"/>
      <c r="F776" s="5"/>
      <c r="G776" s="5"/>
      <c r="H776" s="5"/>
      <c r="I776" s="5"/>
      <c r="J776" s="5"/>
      <c r="K776" s="5"/>
      <c r="L776" s="5"/>
      <c r="M776" s="5"/>
      <c r="N776" s="5"/>
      <c r="O776" s="238"/>
      <c r="P776" s="5"/>
      <c r="Q776" s="5"/>
      <c r="R776" s="5"/>
      <c r="S776" s="5"/>
      <c r="T776" s="5"/>
      <c r="U776" s="5"/>
      <c r="V776" s="5"/>
      <c r="W776" s="5"/>
      <c r="X776" s="5"/>
      <c r="Y776" s="5"/>
      <c r="Z776" s="5"/>
      <c r="AA776" s="5"/>
      <c r="AB776" s="5"/>
      <c r="AC776" s="5"/>
      <c r="AD776" s="5"/>
      <c r="AE776" s="5"/>
      <c r="AF776" s="5"/>
      <c r="AG776" s="5"/>
      <c r="AH776" s="5"/>
    </row>
    <row r="777" spans="1:52" ht="17.25" customHeight="1" x14ac:dyDescent="0.2">
      <c r="A777" s="6"/>
      <c r="B777" s="5"/>
      <c r="C777" s="5"/>
      <c r="D777" s="5"/>
      <c r="E777" s="5"/>
      <c r="F777" s="5"/>
      <c r="G777" s="5"/>
      <c r="H777" s="5"/>
      <c r="I777" s="5"/>
      <c r="J777" s="5"/>
      <c r="K777" s="5"/>
      <c r="L777" s="5"/>
      <c r="M777" s="5"/>
      <c r="N777" s="5"/>
      <c r="O777" s="238"/>
      <c r="P777" s="5"/>
      <c r="Q777" s="5"/>
      <c r="R777" s="5"/>
      <c r="S777" s="5"/>
      <c r="T777" s="5"/>
      <c r="U777" s="5"/>
      <c r="V777" s="5"/>
      <c r="W777" s="5"/>
      <c r="X777" s="5"/>
      <c r="Y777" s="5"/>
      <c r="Z777" s="5"/>
      <c r="AA777" s="5"/>
      <c r="AB777" s="5"/>
      <c r="AC777" s="5"/>
      <c r="AD777" s="5"/>
      <c r="AE777" s="5"/>
      <c r="AF777" s="5"/>
      <c r="AG777" s="5"/>
      <c r="AH777" s="5"/>
    </row>
    <row r="778" spans="1:52" ht="17.25" customHeight="1" x14ac:dyDescent="0.2">
      <c r="A778" s="6"/>
      <c r="B778" s="5"/>
      <c r="C778" s="5"/>
      <c r="D778" s="5"/>
      <c r="E778" s="5"/>
      <c r="F778" s="5"/>
      <c r="G778" s="5"/>
      <c r="H778" s="5"/>
      <c r="I778" s="5"/>
      <c r="J778" s="5"/>
      <c r="K778" s="5"/>
      <c r="L778" s="5"/>
      <c r="M778" s="5"/>
      <c r="N778" s="5"/>
      <c r="O778" s="238"/>
      <c r="P778" s="5"/>
      <c r="Q778" s="5"/>
      <c r="R778" s="5"/>
      <c r="S778" s="5"/>
      <c r="T778" s="5"/>
      <c r="U778" s="5"/>
      <c r="V778" s="5"/>
      <c r="W778" s="5"/>
      <c r="X778" s="5"/>
      <c r="Y778" s="5"/>
      <c r="Z778" s="5"/>
      <c r="AA778" s="5"/>
      <c r="AB778" s="5"/>
      <c r="AC778" s="5"/>
      <c r="AD778" s="5"/>
      <c r="AE778" s="5"/>
      <c r="AF778" s="5"/>
      <c r="AG778" s="5"/>
      <c r="AH778" s="5"/>
    </row>
    <row r="779" spans="1:52" ht="17.25" customHeight="1" x14ac:dyDescent="0.2">
      <c r="A779" s="6"/>
      <c r="B779" s="5"/>
      <c r="C779" s="5"/>
      <c r="D779" s="5"/>
      <c r="E779" s="5"/>
      <c r="F779" s="5"/>
      <c r="G779" s="5"/>
      <c r="H779" s="5"/>
      <c r="I779" s="5"/>
      <c r="J779" s="5"/>
      <c r="K779" s="5"/>
      <c r="L779" s="5"/>
      <c r="M779" s="5"/>
      <c r="N779" s="5"/>
      <c r="O779" s="238"/>
      <c r="P779" s="5"/>
      <c r="Q779" s="5"/>
      <c r="R779" s="5"/>
      <c r="S779" s="5"/>
      <c r="T779" s="5"/>
      <c r="U779" s="5"/>
      <c r="V779" s="5"/>
      <c r="W779" s="5"/>
      <c r="X779" s="5"/>
      <c r="Y779" s="5"/>
      <c r="Z779" s="5"/>
      <c r="AA779" s="5"/>
      <c r="AB779" s="5"/>
      <c r="AC779" s="5"/>
      <c r="AD779" s="5"/>
      <c r="AE779" s="5"/>
      <c r="AF779" s="5"/>
      <c r="AG779" s="5"/>
      <c r="AH779" s="5"/>
    </row>
    <row r="780" spans="1:52" ht="17.25" customHeight="1" x14ac:dyDescent="0.2">
      <c r="A780" s="6"/>
      <c r="B780" s="5"/>
      <c r="C780" s="5"/>
      <c r="D780" s="5"/>
      <c r="E780" s="5"/>
      <c r="F780" s="5"/>
      <c r="G780" s="5"/>
      <c r="H780" s="5"/>
      <c r="I780" s="5"/>
      <c r="J780" s="5"/>
      <c r="K780" s="5"/>
      <c r="L780" s="5"/>
      <c r="M780" s="5"/>
      <c r="N780" s="5"/>
      <c r="O780" s="238"/>
      <c r="P780" s="5"/>
      <c r="Q780" s="5"/>
      <c r="R780" s="5"/>
      <c r="S780" s="5"/>
      <c r="T780" s="5"/>
      <c r="U780" s="5"/>
      <c r="V780" s="5"/>
      <c r="W780" s="5"/>
      <c r="X780" s="5"/>
      <c r="Y780" s="5"/>
      <c r="Z780" s="5"/>
      <c r="AA780" s="5"/>
      <c r="AB780" s="5"/>
      <c r="AC780" s="5"/>
      <c r="AD780" s="5"/>
      <c r="AE780" s="5"/>
      <c r="AF780" s="5"/>
      <c r="AG780" s="5"/>
      <c r="AH780" s="5"/>
    </row>
    <row r="781" spans="1:52" ht="17.25" customHeight="1" x14ac:dyDescent="0.2">
      <c r="A781" s="6"/>
      <c r="B781" s="5"/>
      <c r="C781" s="5"/>
      <c r="D781" s="5"/>
      <c r="E781" s="5"/>
      <c r="F781" s="5"/>
      <c r="G781" s="5"/>
      <c r="H781" s="5"/>
      <c r="I781" s="5"/>
      <c r="J781" s="5"/>
      <c r="K781" s="5"/>
      <c r="L781" s="5"/>
      <c r="M781" s="5"/>
      <c r="N781" s="5"/>
      <c r="O781" s="238"/>
      <c r="P781" s="5"/>
      <c r="Q781" s="5"/>
      <c r="R781" s="5"/>
      <c r="S781" s="5"/>
      <c r="T781" s="5"/>
      <c r="U781" s="5"/>
      <c r="V781" s="5"/>
      <c r="W781" s="5"/>
      <c r="X781" s="5"/>
      <c r="Y781" s="5"/>
      <c r="Z781" s="5"/>
      <c r="AA781" s="5"/>
      <c r="AB781" s="5"/>
      <c r="AC781" s="5"/>
      <c r="AD781" s="5"/>
      <c r="AE781" s="5"/>
      <c r="AF781" s="5"/>
      <c r="AG781" s="5"/>
      <c r="AH781" s="5"/>
    </row>
    <row r="782" spans="1:52" ht="17.25" customHeight="1" x14ac:dyDescent="0.2">
      <c r="A782" s="6"/>
      <c r="B782" s="5"/>
      <c r="C782" s="5"/>
      <c r="D782" s="5"/>
      <c r="E782" s="5"/>
      <c r="F782" s="5"/>
      <c r="G782" s="5"/>
      <c r="H782" s="5"/>
      <c r="I782" s="5"/>
      <c r="J782" s="5"/>
      <c r="K782" s="5"/>
      <c r="L782" s="5"/>
      <c r="M782" s="5"/>
      <c r="N782" s="5"/>
      <c r="O782" s="238"/>
      <c r="P782" s="5"/>
      <c r="Q782" s="5"/>
      <c r="R782" s="5"/>
      <c r="S782" s="5"/>
      <c r="T782" s="5"/>
      <c r="U782" s="5"/>
      <c r="V782" s="5"/>
      <c r="W782" s="5"/>
      <c r="X782" s="5"/>
      <c r="Y782" s="5"/>
      <c r="Z782" s="5"/>
      <c r="AA782" s="5"/>
      <c r="AB782" s="5"/>
      <c r="AC782" s="5"/>
      <c r="AD782" s="5"/>
      <c r="AE782" s="5"/>
      <c r="AF782" s="5"/>
      <c r="AG782" s="5"/>
      <c r="AH782" s="5"/>
    </row>
    <row r="783" spans="1:52" ht="17.25" customHeight="1" x14ac:dyDescent="0.2">
      <c r="A783" s="6"/>
      <c r="B783" s="5"/>
      <c r="C783" s="5"/>
      <c r="D783" s="5"/>
      <c r="E783" s="5"/>
      <c r="F783" s="5"/>
      <c r="G783" s="5"/>
      <c r="H783" s="5"/>
      <c r="I783" s="5"/>
      <c r="J783" s="5"/>
      <c r="K783" s="5"/>
      <c r="L783" s="5"/>
      <c r="M783" s="5"/>
      <c r="N783" s="5"/>
      <c r="O783" s="238"/>
      <c r="P783" s="5"/>
      <c r="Q783" s="5"/>
      <c r="R783" s="5"/>
      <c r="S783" s="5"/>
      <c r="T783" s="5"/>
      <c r="U783" s="5"/>
      <c r="V783" s="5"/>
      <c r="W783" s="5"/>
      <c r="X783" s="5"/>
      <c r="Y783" s="5"/>
      <c r="Z783" s="5"/>
      <c r="AA783" s="5"/>
      <c r="AB783" s="5"/>
      <c r="AC783" s="5"/>
      <c r="AD783" s="5"/>
      <c r="AE783" s="5"/>
      <c r="AF783" s="5"/>
      <c r="AG783" s="5"/>
      <c r="AH783" s="5"/>
    </row>
    <row r="784" spans="1:52" s="3" customFormat="1" ht="17.25" customHeight="1" x14ac:dyDescent="0.2">
      <c r="A784" s="117" t="s">
        <v>469</v>
      </c>
      <c r="O784" s="232"/>
      <c r="AZ784" s="44"/>
    </row>
    <row r="785" spans="1:52" s="3" customFormat="1" ht="17.25" customHeight="1" x14ac:dyDescent="0.2">
      <c r="A785" s="3" t="s">
        <v>114</v>
      </c>
      <c r="O785" s="232"/>
      <c r="AP785" s="43"/>
      <c r="AZ785" s="44"/>
    </row>
    <row r="786" spans="1:52" s="3" customFormat="1" ht="17.25" customHeight="1" x14ac:dyDescent="0.2">
      <c r="B786" s="39" t="s">
        <v>122</v>
      </c>
      <c r="C786" s="212">
        <v>7.9509999999999996</v>
      </c>
      <c r="D786" s="27" t="s">
        <v>115</v>
      </c>
      <c r="E786" s="27"/>
      <c r="F786" s="27"/>
      <c r="G786" s="27"/>
      <c r="O786" s="87"/>
      <c r="AP786" s="311"/>
      <c r="AQ786" s="311"/>
      <c r="AR786" s="311"/>
      <c r="AS786" s="311"/>
      <c r="AZ786" s="44"/>
    </row>
    <row r="787" spans="1:52" s="3" customFormat="1" ht="17.25" customHeight="1" x14ac:dyDescent="0.2">
      <c r="B787" s="39" t="s">
        <v>123</v>
      </c>
      <c r="C787" s="88">
        <f>C786*1000*1.65</f>
        <v>13119.15</v>
      </c>
      <c r="D787" s="3" t="s">
        <v>116</v>
      </c>
      <c r="O787" s="232"/>
      <c r="AZ787" s="44"/>
    </row>
    <row r="788" spans="1:52" s="3" customFormat="1" ht="17.25" customHeight="1" x14ac:dyDescent="0.2">
      <c r="B788" s="39" t="s">
        <v>124</v>
      </c>
      <c r="C788" s="75">
        <v>0.9</v>
      </c>
      <c r="D788" s="3" t="s">
        <v>117</v>
      </c>
      <c r="O788" s="87"/>
      <c r="AZ788" s="44"/>
    </row>
    <row r="789" spans="1:52" s="3" customFormat="1" ht="17.25" customHeight="1" x14ac:dyDescent="0.2">
      <c r="B789" s="39" t="s">
        <v>73</v>
      </c>
      <c r="C789" s="74">
        <f>$C$749</f>
        <v>4200</v>
      </c>
      <c r="D789" s="3" t="s">
        <v>106</v>
      </c>
      <c r="O789" s="87"/>
      <c r="AZ789" s="44"/>
    </row>
    <row r="790" spans="1:52" s="3" customFormat="1" ht="17.25" customHeight="1" x14ac:dyDescent="0.2">
      <c r="B790" s="39" t="s">
        <v>125</v>
      </c>
      <c r="C790" s="199">
        <f>C789*0.45</f>
        <v>1890</v>
      </c>
      <c r="D790" s="3" t="s">
        <v>118</v>
      </c>
      <c r="O790" s="87"/>
      <c r="AZ790" s="44"/>
    </row>
    <row r="791" spans="1:52" s="3" customFormat="1" ht="17.25" customHeight="1" x14ac:dyDescent="0.2">
      <c r="O791" s="87"/>
      <c r="AZ791" s="44"/>
    </row>
    <row r="792" spans="1:52" s="3" customFormat="1" ht="17.25" customHeight="1" x14ac:dyDescent="0.2">
      <c r="O792" s="232"/>
      <c r="AZ792" s="44"/>
    </row>
    <row r="793" spans="1:52" s="3" customFormat="1" ht="17.25" customHeight="1" x14ac:dyDescent="0.2">
      <c r="D793" s="25"/>
      <c r="J793" s="83"/>
      <c r="K793" s="83"/>
      <c r="L793" s="83"/>
      <c r="O793" s="232"/>
      <c r="AZ793" s="44"/>
    </row>
    <row r="794" spans="1:52" s="3" customFormat="1" ht="17.25" customHeight="1" thickBot="1" x14ac:dyDescent="0.25">
      <c r="A794" s="86"/>
      <c r="B794" s="3" t="s">
        <v>119</v>
      </c>
      <c r="I794" s="5"/>
      <c r="J794" s="5"/>
      <c r="K794" s="5"/>
      <c r="L794" s="5"/>
      <c r="M794" s="5"/>
      <c r="N794" s="5"/>
      <c r="O794" s="238"/>
      <c r="P794" s="5"/>
      <c r="Q794" s="5"/>
      <c r="R794" s="5"/>
      <c r="AZ794" s="44"/>
    </row>
    <row r="795" spans="1:52" s="3" customFormat="1" ht="17.25" customHeight="1" x14ac:dyDescent="0.2">
      <c r="A795" s="55"/>
      <c r="C795" s="51" t="s">
        <v>112</v>
      </c>
      <c r="D795" s="80" t="s">
        <v>120</v>
      </c>
      <c r="I795" s="5"/>
      <c r="J795" s="5"/>
      <c r="K795" s="5"/>
      <c r="L795" s="5"/>
      <c r="M795" s="5"/>
      <c r="N795" s="5"/>
      <c r="O795" s="238"/>
      <c r="P795" s="5"/>
      <c r="Q795" s="5"/>
      <c r="R795" s="5"/>
      <c r="AZ795" s="44"/>
    </row>
    <row r="796" spans="1:52" s="3" customFormat="1" ht="17.25" customHeight="1" thickBot="1" x14ac:dyDescent="0.25">
      <c r="A796" s="89"/>
      <c r="C796" s="37"/>
      <c r="D796" s="53" t="s">
        <v>121</v>
      </c>
      <c r="E796" s="69"/>
      <c r="I796" s="5"/>
      <c r="J796" s="5"/>
      <c r="K796" s="5"/>
      <c r="L796" s="5"/>
      <c r="M796" s="5"/>
      <c r="N796" s="5"/>
      <c r="O796" s="238"/>
      <c r="P796" s="5"/>
      <c r="Q796" s="5"/>
      <c r="R796" s="5"/>
      <c r="AZ796" s="44"/>
    </row>
    <row r="797" spans="1:52" s="3" customFormat="1" ht="17.25" customHeight="1" thickBot="1" x14ac:dyDescent="0.25">
      <c r="A797" s="66"/>
      <c r="I797" s="5"/>
      <c r="J797" s="5"/>
      <c r="K797" s="5"/>
      <c r="L797" s="5"/>
      <c r="M797" s="5"/>
      <c r="N797" s="5"/>
      <c r="O797" s="238"/>
      <c r="P797" s="5"/>
      <c r="Q797" s="5"/>
      <c r="R797" s="5"/>
      <c r="AZ797" s="44"/>
    </row>
    <row r="798" spans="1:52" s="3" customFormat="1" ht="17.25" customHeight="1" thickBot="1" x14ac:dyDescent="0.25">
      <c r="A798" s="66"/>
      <c r="C798" s="180" t="s">
        <v>112</v>
      </c>
      <c r="D798" s="270">
        <f>C787/(C788*C789)</f>
        <v>3.470674603174603</v>
      </c>
      <c r="E798" s="271"/>
      <c r="I798" s="5"/>
      <c r="J798" s="5"/>
      <c r="K798" s="5"/>
      <c r="L798" s="5"/>
      <c r="M798" s="5"/>
      <c r="N798" s="5"/>
      <c r="O798" s="238"/>
      <c r="P798" s="5"/>
      <c r="Q798" s="5"/>
      <c r="R798" s="5"/>
      <c r="AZ798" s="44"/>
    </row>
    <row r="799" spans="1:52" s="3" customFormat="1" ht="17.25" customHeight="1" x14ac:dyDescent="0.2">
      <c r="C799" s="43"/>
      <c r="I799" s="5"/>
      <c r="J799" s="5"/>
      <c r="K799" s="5"/>
      <c r="L799" s="5"/>
      <c r="M799" s="5"/>
      <c r="N799" s="5"/>
      <c r="O799" s="238"/>
      <c r="P799" s="5"/>
      <c r="Q799" s="5"/>
      <c r="R799" s="5"/>
      <c r="AZ799" s="44"/>
    </row>
    <row r="800" spans="1:52" s="3" customFormat="1" ht="17.25" customHeight="1" x14ac:dyDescent="0.2">
      <c r="C800" s="43"/>
      <c r="I800" s="5"/>
      <c r="J800" s="5"/>
      <c r="K800" s="5"/>
      <c r="L800" s="5"/>
      <c r="M800" s="5"/>
      <c r="N800" s="5"/>
      <c r="O800" s="238"/>
      <c r="P800" s="5"/>
      <c r="Q800" s="5"/>
      <c r="R800" s="5"/>
      <c r="AZ800" s="44"/>
    </row>
    <row r="801" spans="1:52" s="3" customFormat="1" ht="17.25" customHeight="1" x14ac:dyDescent="0.2">
      <c r="C801" s="43"/>
      <c r="I801" s="5"/>
      <c r="J801" s="5"/>
      <c r="K801" s="5"/>
      <c r="L801" s="5"/>
      <c r="M801" s="5"/>
      <c r="N801" s="5"/>
      <c r="O801" s="238"/>
      <c r="P801" s="5"/>
      <c r="Q801" s="5"/>
      <c r="R801" s="5"/>
      <c r="AZ801" s="44"/>
    </row>
    <row r="802" spans="1:52" s="3" customFormat="1" ht="17.25" customHeight="1" x14ac:dyDescent="0.2">
      <c r="C802" s="43"/>
      <c r="I802" s="5"/>
      <c r="J802" s="5"/>
      <c r="K802" s="5"/>
      <c r="L802" s="5"/>
      <c r="M802" s="5"/>
      <c r="N802" s="5"/>
      <c r="O802" s="238"/>
      <c r="P802" s="5"/>
      <c r="Q802" s="5"/>
      <c r="R802" s="5"/>
      <c r="AZ802" s="44"/>
    </row>
    <row r="803" spans="1:52" s="3" customFormat="1" ht="17.25" customHeight="1" x14ac:dyDescent="0.2">
      <c r="C803" s="43"/>
      <c r="I803" s="5"/>
      <c r="J803" s="5"/>
      <c r="K803" s="5"/>
      <c r="L803" s="5"/>
      <c r="M803" s="5"/>
      <c r="N803" s="5"/>
      <c r="O803" s="238"/>
      <c r="P803" s="5"/>
      <c r="Q803" s="5"/>
      <c r="R803" s="5"/>
      <c r="AZ803" s="44"/>
    </row>
    <row r="804" spans="1:52" s="3" customFormat="1" ht="17.25" customHeight="1" x14ac:dyDescent="0.2">
      <c r="C804" s="43"/>
      <c r="I804" s="5"/>
      <c r="J804" s="5"/>
      <c r="K804" s="5"/>
      <c r="L804" s="5"/>
      <c r="M804" s="5"/>
      <c r="N804" s="5"/>
      <c r="O804" s="238"/>
      <c r="P804" s="5"/>
      <c r="Q804" s="5"/>
      <c r="R804" s="5"/>
      <c r="AZ804" s="44"/>
    </row>
    <row r="805" spans="1:52" s="3" customFormat="1" ht="17.25" customHeight="1" x14ac:dyDescent="0.2">
      <c r="C805" s="43"/>
      <c r="I805" s="5"/>
      <c r="J805" s="5"/>
      <c r="K805" s="5"/>
      <c r="L805" s="5"/>
      <c r="M805" s="5"/>
      <c r="N805" s="5"/>
      <c r="O805" s="238"/>
      <c r="P805" s="5"/>
      <c r="Q805" s="5"/>
      <c r="R805" s="5"/>
      <c r="AZ805" s="44"/>
    </row>
    <row r="806" spans="1:52" s="3" customFormat="1" ht="17.25" customHeight="1" x14ac:dyDescent="0.2">
      <c r="C806" s="43"/>
      <c r="I806" s="5"/>
      <c r="J806" s="5"/>
      <c r="K806" s="5"/>
      <c r="L806" s="5"/>
      <c r="M806" s="5"/>
      <c r="N806" s="5"/>
      <c r="O806" s="238"/>
      <c r="P806" s="5"/>
      <c r="Q806" s="5"/>
      <c r="R806" s="5"/>
      <c r="AZ806" s="44"/>
    </row>
    <row r="807" spans="1:52" s="3" customFormat="1" ht="17.25" customHeight="1" x14ac:dyDescent="0.2">
      <c r="C807" s="43"/>
      <c r="I807" s="5"/>
      <c r="J807" s="5"/>
      <c r="K807" s="5"/>
      <c r="L807" s="5"/>
      <c r="M807" s="5"/>
      <c r="N807" s="5"/>
      <c r="O807" s="238"/>
      <c r="P807" s="5"/>
      <c r="Q807" s="5"/>
      <c r="R807" s="5"/>
      <c r="AZ807" s="44"/>
    </row>
    <row r="808" spans="1:52" s="3" customFormat="1" ht="17.25" customHeight="1" x14ac:dyDescent="0.2">
      <c r="C808" s="43"/>
      <c r="I808" s="5"/>
      <c r="J808" s="5"/>
      <c r="K808" s="5"/>
      <c r="L808" s="5"/>
      <c r="M808" s="5"/>
      <c r="N808" s="5"/>
      <c r="O808" s="238"/>
      <c r="P808" s="5"/>
      <c r="Q808" s="5"/>
      <c r="R808" s="5"/>
      <c r="AZ808" s="44"/>
    </row>
    <row r="809" spans="1:52" s="3" customFormat="1" ht="17.25" customHeight="1" x14ac:dyDescent="0.2">
      <c r="C809" s="43"/>
      <c r="I809" s="5"/>
      <c r="J809" s="5"/>
      <c r="K809" s="5"/>
      <c r="L809" s="5"/>
      <c r="M809" s="5"/>
      <c r="N809" s="5"/>
      <c r="O809" s="238"/>
      <c r="P809" s="5"/>
      <c r="Q809" s="5"/>
      <c r="R809" s="5"/>
      <c r="AZ809" s="44"/>
    </row>
    <row r="810" spans="1:52" s="3" customFormat="1" ht="17.25" customHeight="1" x14ac:dyDescent="0.2">
      <c r="C810" s="43"/>
      <c r="I810" s="5"/>
      <c r="J810" s="5"/>
      <c r="K810" s="5"/>
      <c r="L810" s="5"/>
      <c r="M810" s="5"/>
      <c r="N810" s="5"/>
      <c r="O810" s="238"/>
      <c r="P810" s="5"/>
      <c r="Q810" s="5"/>
      <c r="R810" s="5"/>
      <c r="AZ810" s="44"/>
    </row>
    <row r="811" spans="1:52" s="3" customFormat="1" ht="17.25" customHeight="1" x14ac:dyDescent="0.2">
      <c r="C811" s="43"/>
      <c r="I811" s="5"/>
      <c r="J811" s="5"/>
      <c r="K811" s="5"/>
      <c r="L811" s="5"/>
      <c r="M811" s="5"/>
      <c r="N811" s="5"/>
      <c r="O811" s="238"/>
      <c r="P811" s="5"/>
      <c r="Q811" s="5"/>
      <c r="R811" s="5"/>
      <c r="AZ811" s="44"/>
    </row>
    <row r="812" spans="1:52" s="3" customFormat="1" ht="17.25" customHeight="1" x14ac:dyDescent="0.2">
      <c r="C812" s="43"/>
      <c r="I812" s="5"/>
      <c r="J812" s="5"/>
      <c r="K812" s="5"/>
      <c r="L812" s="5"/>
      <c r="M812" s="5"/>
      <c r="N812" s="5"/>
      <c r="O812" s="238"/>
      <c r="P812" s="5"/>
      <c r="Q812" s="5"/>
      <c r="R812" s="5"/>
      <c r="AZ812" s="44"/>
    </row>
    <row r="813" spans="1:52" s="3" customFormat="1" ht="17.25" customHeight="1" x14ac:dyDescent="0.2">
      <c r="C813" s="43"/>
      <c r="I813" s="5"/>
      <c r="J813" s="5"/>
      <c r="K813" s="5"/>
      <c r="L813" s="5"/>
      <c r="M813" s="5"/>
      <c r="N813" s="5"/>
      <c r="O813" s="238"/>
      <c r="P813" s="5"/>
      <c r="Q813" s="5"/>
      <c r="R813" s="5"/>
      <c r="AZ813" s="44"/>
    </row>
    <row r="814" spans="1:52" s="3" customFormat="1" ht="17.25" customHeight="1" x14ac:dyDescent="0.2">
      <c r="C814" s="43"/>
      <c r="I814" s="5"/>
      <c r="J814" s="5"/>
      <c r="K814" s="5"/>
      <c r="L814" s="5"/>
      <c r="M814" s="5"/>
      <c r="N814" s="5"/>
      <c r="O814" s="238"/>
      <c r="P814" s="5"/>
      <c r="Q814" s="5"/>
      <c r="R814" s="5"/>
      <c r="AZ814" s="44"/>
    </row>
    <row r="815" spans="1:52" s="3" customFormat="1" ht="17.25" customHeight="1" x14ac:dyDescent="0.2">
      <c r="A815" s="117" t="s">
        <v>470</v>
      </c>
      <c r="O815" s="232"/>
      <c r="AZ815" s="44"/>
    </row>
    <row r="816" spans="1:52" s="3" customFormat="1" ht="17.25" customHeight="1" x14ac:dyDescent="0.2">
      <c r="A816" s="3" t="s">
        <v>129</v>
      </c>
      <c r="O816" s="232"/>
      <c r="AZ816" s="44"/>
    </row>
    <row r="817" spans="1:52" s="3" customFormat="1" ht="17.25" customHeight="1" x14ac:dyDescent="0.2">
      <c r="B817" s="39" t="s">
        <v>7</v>
      </c>
      <c r="C817" s="85">
        <v>6.9</v>
      </c>
      <c r="D817" s="27" t="s">
        <v>130</v>
      </c>
      <c r="E817" s="27"/>
      <c r="F817" s="27"/>
      <c r="G817" s="27"/>
      <c r="H817" s="86"/>
      <c r="O817" s="232"/>
      <c r="P817" s="43"/>
      <c r="AZ817" s="44"/>
    </row>
    <row r="818" spans="1:52" s="3" customFormat="1" ht="17.25" customHeight="1" x14ac:dyDescent="0.2">
      <c r="A818" s="25"/>
      <c r="B818" s="39" t="s">
        <v>137</v>
      </c>
      <c r="C818" s="88">
        <f>C817*1000*1.65</f>
        <v>11385</v>
      </c>
      <c r="D818" s="3" t="s">
        <v>507</v>
      </c>
      <c r="H818" s="55"/>
      <c r="O818" s="232"/>
      <c r="AZ818" s="44"/>
    </row>
    <row r="819" spans="1:52" s="3" customFormat="1" ht="17.25" customHeight="1" x14ac:dyDescent="0.2">
      <c r="A819" s="25"/>
      <c r="B819" s="39" t="s">
        <v>514</v>
      </c>
      <c r="C819" s="200">
        <f>C748</f>
        <v>210</v>
      </c>
      <c r="D819" s="9" t="s">
        <v>97</v>
      </c>
      <c r="H819" s="55"/>
      <c r="O819" s="232"/>
      <c r="AZ819" s="44"/>
    </row>
    <row r="820" spans="1:52" s="3" customFormat="1" ht="17.25" customHeight="1" x14ac:dyDescent="0.2">
      <c r="B820" s="39" t="s">
        <v>138</v>
      </c>
      <c r="C820" s="90">
        <f>B96*100</f>
        <v>20</v>
      </c>
      <c r="D820" s="3" t="s">
        <v>132</v>
      </c>
      <c r="O820" s="232"/>
      <c r="P820" s="43"/>
      <c r="AZ820" s="44"/>
    </row>
    <row r="821" spans="1:52" s="3" customFormat="1" ht="17.25" customHeight="1" x14ac:dyDescent="0.2">
      <c r="B821" s="39" t="s">
        <v>139</v>
      </c>
      <c r="C821" s="23">
        <v>100</v>
      </c>
      <c r="D821" s="3" t="s">
        <v>133</v>
      </c>
      <c r="H821" s="91"/>
      <c r="O821" s="232"/>
      <c r="P821" s="43"/>
      <c r="AZ821" s="44"/>
    </row>
    <row r="822" spans="1:52" s="3" customFormat="1" ht="17.25" customHeight="1" x14ac:dyDescent="0.2">
      <c r="O822" s="232"/>
      <c r="P822" s="43"/>
      <c r="AZ822" s="44"/>
    </row>
    <row r="823" spans="1:52" s="3" customFormat="1" ht="17.25" customHeight="1" x14ac:dyDescent="0.2">
      <c r="O823" s="232"/>
      <c r="P823" s="43"/>
      <c r="AZ823" s="44"/>
    </row>
    <row r="824" spans="1:52" s="3" customFormat="1" ht="17.25" customHeight="1" thickBot="1" x14ac:dyDescent="0.25">
      <c r="A824" s="3" t="s">
        <v>134</v>
      </c>
      <c r="O824" s="232"/>
      <c r="AZ824" s="44"/>
    </row>
    <row r="825" spans="1:52" s="3" customFormat="1" ht="17.25" customHeight="1" x14ac:dyDescent="0.2">
      <c r="B825" s="92" t="s">
        <v>141</v>
      </c>
      <c r="C825" s="93" t="s">
        <v>131</v>
      </c>
      <c r="D825" s="94" t="s">
        <v>3</v>
      </c>
      <c r="E825" s="95" t="s">
        <v>135</v>
      </c>
      <c r="K825" s="66"/>
      <c r="L825" s="66"/>
      <c r="M825" s="66"/>
      <c r="O825" s="232"/>
      <c r="AZ825" s="44"/>
    </row>
    <row r="826" spans="1:52" s="3" customFormat="1" ht="17.25" customHeight="1" thickBot="1" x14ac:dyDescent="0.25">
      <c r="B826" s="37"/>
      <c r="C826" s="96" t="s">
        <v>136</v>
      </c>
      <c r="D826" s="59"/>
      <c r="E826" s="38"/>
      <c r="I826" s="5"/>
      <c r="J826" s="5"/>
      <c r="K826" s="5"/>
      <c r="L826" s="5"/>
      <c r="M826" s="5"/>
      <c r="N826" s="5"/>
      <c r="O826" s="238"/>
      <c r="P826" s="5"/>
      <c r="Q826" s="5"/>
      <c r="R826" s="5"/>
      <c r="S826" s="5"/>
      <c r="T826" s="5"/>
      <c r="W826" s="43"/>
      <c r="AC826" s="43"/>
      <c r="AZ826" s="44"/>
    </row>
    <row r="827" spans="1:52" ht="17.25" customHeight="1" x14ac:dyDescent="0.2">
      <c r="A827" s="10"/>
      <c r="B827" s="10"/>
      <c r="C827" s="10"/>
      <c r="D827" s="10"/>
      <c r="E827" s="10"/>
      <c r="F827" s="5"/>
      <c r="G827" s="10"/>
      <c r="H827" s="10"/>
      <c r="L827" s="3"/>
      <c r="N827" s="5"/>
      <c r="S827" s="5"/>
      <c r="T827" s="5"/>
      <c r="U827" s="5"/>
      <c r="V827" s="5"/>
      <c r="W827" s="5"/>
      <c r="X827" s="5"/>
      <c r="Y827" s="5"/>
      <c r="Z827" s="5"/>
      <c r="AA827" s="5"/>
      <c r="AB827" s="5"/>
      <c r="AC827" s="5"/>
      <c r="AD827" s="5"/>
      <c r="AE827" s="5"/>
      <c r="AF827" s="5"/>
      <c r="AG827" s="5"/>
      <c r="AH827" s="5"/>
    </row>
    <row r="828" spans="1:52" ht="17.25" customHeight="1" x14ac:dyDescent="0.2">
      <c r="A828" s="198" t="s">
        <v>140</v>
      </c>
      <c r="B828" s="197">
        <f>C818/(C821*C820)</f>
        <v>5.6924999999999999</v>
      </c>
      <c r="C828" s="27" t="str">
        <f>IF(B828&lt;C819," &lt; 210kg/cm2 : Concreto adecuado","&gt; 210kg/cm2 : Aumentar f'c")</f>
        <v xml:space="preserve"> &lt; 210kg/cm2 : Concreto adecuado</v>
      </c>
      <c r="D828" s="10"/>
      <c r="E828" s="10"/>
      <c r="F828" s="10"/>
      <c r="H828" s="5"/>
      <c r="I828" s="5"/>
      <c r="J828" s="5"/>
      <c r="K828" s="5"/>
      <c r="L828" s="5"/>
      <c r="M828" s="5"/>
      <c r="N828" s="5"/>
      <c r="O828" s="238"/>
      <c r="P828" s="5"/>
      <c r="Q828" s="5"/>
      <c r="R828" s="5"/>
      <c r="S828" s="5"/>
      <c r="T828" s="5"/>
      <c r="U828" s="5"/>
      <c r="V828" s="5"/>
      <c r="W828" s="5"/>
      <c r="X828" s="5"/>
      <c r="Y828" s="5"/>
      <c r="Z828" s="5"/>
      <c r="AA828" s="5"/>
      <c r="AB828" s="5"/>
      <c r="AC828" s="5"/>
      <c r="AD828" s="5"/>
      <c r="AE828" s="5"/>
      <c r="AF828" s="5"/>
      <c r="AG828" s="5"/>
      <c r="AH828" s="5"/>
    </row>
    <row r="829" spans="1:52" ht="17.25" customHeight="1" x14ac:dyDescent="0.2">
      <c r="A829" s="6"/>
      <c r="B829" s="5"/>
      <c r="C829" s="5"/>
      <c r="D829" s="5"/>
      <c r="E829" s="5"/>
      <c r="F829" s="5"/>
      <c r="G829" s="5"/>
      <c r="H829" s="5"/>
      <c r="I829" s="5"/>
      <c r="J829" s="5"/>
      <c r="K829" s="5"/>
      <c r="L829" s="5"/>
      <c r="M829" s="5"/>
      <c r="N829" s="5"/>
      <c r="O829" s="238"/>
      <c r="P829" s="5"/>
      <c r="Q829" s="5"/>
      <c r="R829" s="5"/>
      <c r="S829" s="5"/>
      <c r="T829" s="5"/>
      <c r="U829" s="5"/>
      <c r="V829" s="5"/>
      <c r="W829" s="5"/>
      <c r="X829" s="5"/>
      <c r="Y829" s="5"/>
      <c r="Z829" s="5"/>
      <c r="AA829" s="5"/>
      <c r="AB829" s="5"/>
      <c r="AC829" s="5"/>
      <c r="AD829" s="5"/>
      <c r="AE829" s="5"/>
      <c r="AF829" s="5"/>
      <c r="AG829" s="5"/>
      <c r="AH829" s="5"/>
    </row>
    <row r="830" spans="1:52" ht="17.25" customHeight="1" x14ac:dyDescent="0.2">
      <c r="A830" s="6"/>
      <c r="B830" s="5"/>
      <c r="C830" s="5"/>
      <c r="D830" s="5"/>
      <c r="E830" s="5"/>
      <c r="F830" s="5"/>
      <c r="G830" s="5"/>
      <c r="H830" s="5"/>
      <c r="I830" s="5"/>
      <c r="J830" s="5"/>
      <c r="K830" s="5"/>
      <c r="L830" s="5"/>
      <c r="M830" s="5"/>
      <c r="N830" s="5"/>
      <c r="O830" s="238"/>
      <c r="P830" s="5"/>
      <c r="Q830" s="5"/>
      <c r="R830" s="5"/>
      <c r="S830" s="5"/>
      <c r="T830" s="5"/>
      <c r="U830" s="5"/>
      <c r="V830" s="5"/>
      <c r="W830" s="5"/>
      <c r="X830" s="5"/>
      <c r="Y830" s="5"/>
      <c r="Z830" s="5"/>
      <c r="AA830" s="5"/>
      <c r="AB830" s="5"/>
      <c r="AC830" s="5"/>
      <c r="AD830" s="5"/>
      <c r="AE830" s="5"/>
      <c r="AF830" s="5"/>
      <c r="AG830" s="5"/>
      <c r="AH830" s="5"/>
    </row>
    <row r="831" spans="1:52" ht="17.25" customHeight="1" x14ac:dyDescent="0.2">
      <c r="A831" s="6"/>
      <c r="B831" s="10"/>
      <c r="C831" s="10"/>
      <c r="D831" s="10"/>
      <c r="E831" s="10"/>
      <c r="F831" s="5"/>
      <c r="G831" s="5"/>
      <c r="H831" s="5"/>
      <c r="I831" s="5"/>
      <c r="J831" s="5"/>
      <c r="K831" s="5"/>
      <c r="L831" s="5"/>
      <c r="M831" s="5"/>
      <c r="N831" s="5"/>
      <c r="O831" s="238"/>
      <c r="P831" s="5"/>
      <c r="Q831" s="5"/>
      <c r="R831" s="5"/>
      <c r="S831" s="5"/>
      <c r="T831" s="5"/>
      <c r="U831" s="5"/>
      <c r="V831" s="5"/>
      <c r="W831" s="5"/>
      <c r="X831" s="5"/>
      <c r="Y831" s="5"/>
      <c r="Z831" s="5"/>
      <c r="AA831" s="5"/>
      <c r="AB831" s="5"/>
      <c r="AC831" s="5"/>
      <c r="AD831" s="5"/>
      <c r="AE831" s="5"/>
      <c r="AF831" s="5"/>
      <c r="AG831" s="5"/>
      <c r="AH831" s="5"/>
    </row>
    <row r="832" spans="1:52" ht="17.25" customHeight="1" x14ac:dyDescent="0.2">
      <c r="A832" s="6"/>
      <c r="B832" s="10"/>
      <c r="C832" s="10"/>
      <c r="D832" s="10"/>
      <c r="E832" s="10"/>
      <c r="F832" s="5"/>
      <c r="G832" s="5"/>
      <c r="H832" s="5"/>
      <c r="I832" s="5"/>
      <c r="J832" s="5"/>
      <c r="K832" s="5"/>
      <c r="L832" s="5"/>
      <c r="M832" s="5"/>
      <c r="N832" s="5"/>
      <c r="O832" s="238"/>
      <c r="P832" s="5"/>
      <c r="Q832" s="5"/>
      <c r="R832" s="5"/>
      <c r="S832" s="5"/>
      <c r="T832" s="5"/>
      <c r="U832" s="5"/>
      <c r="V832" s="5"/>
      <c r="W832" s="5"/>
      <c r="X832" s="5"/>
      <c r="Y832" s="5"/>
      <c r="Z832" s="5"/>
      <c r="AA832" s="5"/>
      <c r="AB832" s="5"/>
      <c r="AC832" s="5"/>
      <c r="AD832" s="5"/>
      <c r="AE832" s="5"/>
      <c r="AF832" s="5"/>
      <c r="AG832" s="5"/>
      <c r="AH832" s="5"/>
    </row>
    <row r="833" spans="1:52" ht="17.25" customHeight="1" x14ac:dyDescent="0.2">
      <c r="A833" s="6"/>
      <c r="B833" s="10"/>
      <c r="C833" s="10"/>
      <c r="D833" s="10"/>
      <c r="E833" s="10"/>
      <c r="F833" s="5"/>
      <c r="G833" s="5"/>
      <c r="H833" s="5"/>
      <c r="I833" s="5"/>
      <c r="J833" s="5"/>
      <c r="K833" s="5"/>
      <c r="L833" s="5"/>
      <c r="M833" s="5"/>
      <c r="N833" s="5"/>
      <c r="O833" s="238"/>
      <c r="P833" s="5"/>
      <c r="Q833" s="5"/>
      <c r="R833" s="5"/>
      <c r="S833" s="5"/>
      <c r="T833" s="5"/>
      <c r="U833" s="5"/>
      <c r="V833" s="5"/>
      <c r="W833" s="5"/>
      <c r="X833" s="5"/>
      <c r="Y833" s="5"/>
      <c r="Z833" s="5"/>
      <c r="AA833" s="5"/>
      <c r="AB833" s="5"/>
      <c r="AC833" s="5"/>
      <c r="AD833" s="5"/>
      <c r="AE833" s="5"/>
      <c r="AF833" s="5"/>
      <c r="AG833" s="5"/>
      <c r="AH833" s="5"/>
    </row>
    <row r="834" spans="1:52" ht="17.25" customHeight="1" x14ac:dyDescent="0.2">
      <c r="A834" s="6"/>
      <c r="B834" s="10"/>
      <c r="C834" s="10"/>
      <c r="D834" s="10"/>
      <c r="E834" s="10"/>
      <c r="F834" s="5"/>
      <c r="G834" s="5"/>
      <c r="H834" s="5"/>
      <c r="I834" s="5"/>
      <c r="J834" s="5"/>
      <c r="K834" s="5"/>
      <c r="L834" s="5"/>
      <c r="M834" s="5"/>
      <c r="N834" s="5"/>
      <c r="O834" s="238"/>
      <c r="P834" s="5"/>
      <c r="Q834" s="5"/>
      <c r="R834" s="5"/>
      <c r="S834" s="5"/>
      <c r="T834" s="5"/>
      <c r="U834" s="5"/>
      <c r="V834" s="5"/>
      <c r="W834" s="5"/>
      <c r="X834" s="5"/>
      <c r="Y834" s="5"/>
      <c r="Z834" s="5"/>
      <c r="AA834" s="5"/>
      <c r="AB834" s="5"/>
      <c r="AC834" s="5"/>
      <c r="AD834" s="5"/>
      <c r="AE834" s="5"/>
      <c r="AF834" s="5"/>
      <c r="AG834" s="5"/>
      <c r="AH834" s="5"/>
    </row>
    <row r="835" spans="1:52" ht="17.25" customHeight="1" x14ac:dyDescent="0.2">
      <c r="A835" s="6"/>
      <c r="B835" s="10"/>
      <c r="C835" s="10"/>
      <c r="D835" s="10"/>
      <c r="E835" s="10"/>
      <c r="F835" s="5"/>
      <c r="G835" s="5"/>
      <c r="H835" s="5"/>
      <c r="I835" s="5"/>
      <c r="J835" s="5"/>
      <c r="K835" s="5"/>
      <c r="L835" s="5"/>
      <c r="M835" s="5"/>
      <c r="N835" s="5"/>
      <c r="O835" s="238"/>
      <c r="P835" s="5"/>
      <c r="Q835" s="5"/>
      <c r="R835" s="5"/>
      <c r="S835" s="5"/>
      <c r="T835" s="5"/>
      <c r="U835" s="5"/>
      <c r="V835" s="5"/>
      <c r="W835" s="5"/>
      <c r="X835" s="5"/>
      <c r="Y835" s="5"/>
      <c r="Z835" s="5"/>
      <c r="AA835" s="5"/>
      <c r="AB835" s="5"/>
      <c r="AC835" s="5"/>
      <c r="AD835" s="5"/>
      <c r="AE835" s="5"/>
      <c r="AF835" s="5"/>
      <c r="AG835" s="5"/>
      <c r="AH835" s="5"/>
    </row>
    <row r="836" spans="1:52" ht="17.25" customHeight="1" x14ac:dyDescent="0.2">
      <c r="A836" s="6"/>
      <c r="B836" s="10"/>
      <c r="C836" s="10"/>
      <c r="D836" s="10"/>
      <c r="E836" s="10"/>
      <c r="F836" s="5"/>
      <c r="G836" s="5"/>
      <c r="H836" s="5"/>
      <c r="I836" s="5"/>
      <c r="J836" s="5"/>
      <c r="K836" s="5"/>
      <c r="L836" s="5"/>
      <c r="M836" s="5"/>
      <c r="N836" s="5"/>
      <c r="O836" s="238"/>
      <c r="P836" s="5"/>
      <c r="Q836" s="5"/>
      <c r="R836" s="5"/>
      <c r="S836" s="5"/>
      <c r="T836" s="5"/>
      <c r="U836" s="5"/>
      <c r="V836" s="5"/>
      <c r="W836" s="5"/>
      <c r="X836" s="5"/>
      <c r="Y836" s="5"/>
      <c r="Z836" s="5"/>
      <c r="AA836" s="5"/>
      <c r="AB836" s="5"/>
      <c r="AC836" s="5"/>
      <c r="AD836" s="5"/>
      <c r="AE836" s="5"/>
      <c r="AF836" s="5"/>
      <c r="AG836" s="5"/>
      <c r="AH836" s="5"/>
    </row>
    <row r="837" spans="1:52" ht="17.25" customHeight="1" x14ac:dyDescent="0.2">
      <c r="A837" s="6"/>
      <c r="B837" s="5"/>
      <c r="C837" s="5"/>
      <c r="D837" s="5"/>
      <c r="E837" s="5"/>
      <c r="F837" s="5"/>
      <c r="G837" s="5"/>
      <c r="H837" s="5"/>
      <c r="I837" s="5"/>
      <c r="J837" s="5"/>
      <c r="K837" s="5"/>
      <c r="L837" s="5"/>
      <c r="M837" s="5"/>
      <c r="N837" s="5"/>
      <c r="O837" s="238"/>
      <c r="P837" s="5"/>
      <c r="Q837" s="5"/>
      <c r="R837" s="5"/>
      <c r="S837" s="5"/>
      <c r="T837" s="5"/>
      <c r="U837" s="5"/>
      <c r="V837" s="5"/>
      <c r="W837" s="5"/>
      <c r="X837" s="5"/>
      <c r="Y837" s="5"/>
      <c r="Z837" s="5"/>
      <c r="AA837" s="5"/>
      <c r="AB837" s="5"/>
      <c r="AC837" s="5"/>
      <c r="AD837" s="5"/>
      <c r="AE837" s="5"/>
      <c r="AF837" s="5"/>
      <c r="AG837" s="5"/>
      <c r="AH837" s="5"/>
    </row>
    <row r="838" spans="1:52" ht="17.25" customHeight="1" x14ac:dyDescent="0.2">
      <c r="A838" s="6"/>
      <c r="B838" s="5"/>
      <c r="C838" s="5"/>
      <c r="D838" s="5"/>
      <c r="E838" s="5"/>
      <c r="F838" s="5"/>
      <c r="G838" s="5"/>
      <c r="H838" s="5"/>
      <c r="I838" s="5"/>
      <c r="J838" s="5"/>
      <c r="K838" s="5"/>
      <c r="L838" s="5"/>
      <c r="M838" s="5"/>
      <c r="N838" s="5"/>
      <c r="O838" s="238"/>
      <c r="P838" s="5"/>
      <c r="Q838" s="5"/>
      <c r="R838" s="5"/>
      <c r="S838" s="5"/>
      <c r="T838" s="5"/>
      <c r="U838" s="5"/>
      <c r="V838" s="5"/>
      <c r="W838" s="5"/>
      <c r="X838" s="5"/>
      <c r="Y838" s="5"/>
      <c r="Z838" s="5"/>
      <c r="AA838" s="5"/>
      <c r="AB838" s="5"/>
      <c r="AC838" s="5"/>
      <c r="AD838" s="5"/>
      <c r="AE838" s="5"/>
      <c r="AF838" s="5"/>
      <c r="AG838" s="5"/>
      <c r="AH838" s="5"/>
    </row>
    <row r="839" spans="1:52" ht="17.25" customHeight="1" x14ac:dyDescent="0.2">
      <c r="A839" s="6"/>
      <c r="B839" s="5"/>
      <c r="C839" s="5"/>
      <c r="D839" s="5"/>
      <c r="E839" s="5"/>
      <c r="F839" s="5"/>
      <c r="G839" s="5"/>
      <c r="H839" s="5"/>
      <c r="I839" s="5"/>
      <c r="J839" s="5"/>
      <c r="K839" s="5"/>
      <c r="L839" s="5"/>
      <c r="M839" s="5"/>
      <c r="N839" s="5"/>
      <c r="O839" s="238"/>
      <c r="P839" s="5"/>
      <c r="Q839" s="5"/>
      <c r="R839" s="5"/>
      <c r="S839" s="5"/>
      <c r="T839" s="5"/>
      <c r="U839" s="5"/>
      <c r="V839" s="5"/>
      <c r="W839" s="5"/>
      <c r="X839" s="5"/>
      <c r="Y839" s="5"/>
      <c r="Z839" s="5"/>
      <c r="AA839" s="5"/>
      <c r="AB839" s="5"/>
      <c r="AC839" s="5"/>
      <c r="AD839" s="5"/>
      <c r="AE839" s="5"/>
      <c r="AF839" s="5"/>
      <c r="AG839" s="5"/>
      <c r="AH839" s="5"/>
    </row>
    <row r="840" spans="1:52" ht="17.25" customHeight="1" x14ac:dyDescent="0.2">
      <c r="A840" s="6"/>
      <c r="B840" s="5"/>
      <c r="C840" s="5"/>
      <c r="D840" s="5"/>
      <c r="E840" s="5"/>
      <c r="F840" s="5"/>
      <c r="G840" s="5"/>
      <c r="H840" s="5"/>
      <c r="I840" s="5"/>
      <c r="J840" s="5"/>
      <c r="K840" s="5"/>
      <c r="L840" s="5"/>
      <c r="M840" s="5"/>
      <c r="N840" s="5"/>
      <c r="O840" s="238"/>
      <c r="P840" s="5"/>
      <c r="Q840" s="5"/>
      <c r="R840" s="5"/>
      <c r="S840" s="5"/>
      <c r="T840" s="5"/>
      <c r="U840" s="5"/>
      <c r="V840" s="5"/>
      <c r="W840" s="5"/>
      <c r="X840" s="5"/>
      <c r="Y840" s="5"/>
      <c r="Z840" s="5"/>
      <c r="AA840" s="5"/>
      <c r="AB840" s="5"/>
      <c r="AC840" s="5"/>
      <c r="AD840" s="5"/>
      <c r="AE840" s="5"/>
      <c r="AF840" s="5"/>
      <c r="AG840" s="5"/>
      <c r="AH840" s="5"/>
    </row>
    <row r="841" spans="1:52" ht="17.25" customHeight="1" x14ac:dyDescent="0.2">
      <c r="A841" s="6"/>
      <c r="B841" s="5"/>
      <c r="C841" s="5"/>
      <c r="D841" s="5"/>
      <c r="E841" s="5"/>
      <c r="F841" s="5"/>
      <c r="G841" s="5"/>
      <c r="H841" s="5"/>
      <c r="I841" s="5"/>
      <c r="J841" s="5"/>
      <c r="K841" s="5"/>
      <c r="L841" s="5"/>
      <c r="M841" s="5"/>
      <c r="N841" s="5"/>
      <c r="O841" s="238"/>
      <c r="P841" s="5"/>
      <c r="Q841" s="5"/>
      <c r="R841" s="5"/>
      <c r="S841" s="5"/>
      <c r="T841" s="5"/>
      <c r="U841" s="5"/>
      <c r="V841" s="5"/>
      <c r="W841" s="5"/>
      <c r="X841" s="5"/>
      <c r="Y841" s="5"/>
      <c r="Z841" s="5"/>
      <c r="AA841" s="5"/>
      <c r="AB841" s="5"/>
      <c r="AC841" s="5"/>
      <c r="AD841" s="5"/>
      <c r="AE841" s="5"/>
      <c r="AF841" s="5"/>
      <c r="AG841" s="5"/>
      <c r="AH841" s="5"/>
    </row>
    <row r="842" spans="1:52" ht="17.25" customHeight="1" x14ac:dyDescent="0.2">
      <c r="A842" s="6"/>
      <c r="B842" s="5"/>
      <c r="C842" s="5"/>
      <c r="D842" s="5"/>
      <c r="E842" s="5"/>
      <c r="F842" s="5"/>
      <c r="G842" s="5"/>
      <c r="H842" s="5"/>
      <c r="I842" s="5"/>
      <c r="J842" s="5"/>
      <c r="K842" s="5"/>
      <c r="L842" s="5"/>
      <c r="M842" s="5"/>
      <c r="N842" s="5"/>
      <c r="O842" s="238"/>
      <c r="P842" s="5"/>
      <c r="Q842" s="5"/>
      <c r="R842" s="5"/>
      <c r="S842" s="5"/>
      <c r="T842" s="5"/>
      <c r="U842" s="5"/>
      <c r="V842" s="5"/>
      <c r="W842" s="5"/>
      <c r="X842" s="5"/>
      <c r="Y842" s="5"/>
      <c r="Z842" s="5"/>
      <c r="AA842" s="5"/>
      <c r="AB842" s="5"/>
      <c r="AC842" s="5"/>
      <c r="AD842" s="5"/>
      <c r="AE842" s="5"/>
      <c r="AF842" s="5"/>
      <c r="AG842" s="5"/>
      <c r="AH842" s="5"/>
    </row>
    <row r="843" spans="1:52" ht="17.25" customHeight="1" x14ac:dyDescent="0.2">
      <c r="A843" s="6"/>
      <c r="B843" s="5"/>
      <c r="C843" s="5"/>
      <c r="D843" s="5"/>
      <c r="E843" s="5"/>
      <c r="F843" s="5"/>
      <c r="G843" s="5"/>
      <c r="H843" s="5"/>
      <c r="I843" s="5"/>
      <c r="J843" s="5"/>
      <c r="K843" s="5"/>
      <c r="L843" s="5"/>
      <c r="M843" s="5"/>
      <c r="N843" s="5"/>
      <c r="O843" s="238"/>
      <c r="P843" s="5"/>
      <c r="Q843" s="5"/>
      <c r="R843" s="5"/>
      <c r="S843" s="5"/>
      <c r="T843" s="5"/>
      <c r="U843" s="5"/>
      <c r="V843" s="5"/>
      <c r="W843" s="5"/>
      <c r="X843" s="5"/>
      <c r="Y843" s="5"/>
      <c r="Z843" s="5"/>
      <c r="AA843" s="5"/>
      <c r="AB843" s="5"/>
      <c r="AC843" s="5"/>
      <c r="AD843" s="5"/>
      <c r="AE843" s="5"/>
      <c r="AF843" s="5"/>
      <c r="AG843" s="5"/>
      <c r="AH843" s="5"/>
    </row>
    <row r="844" spans="1:52" ht="17.25" customHeight="1" x14ac:dyDescent="0.2">
      <c r="A844" s="6"/>
      <c r="B844" s="5"/>
      <c r="C844" s="5"/>
      <c r="D844" s="5"/>
      <c r="E844" s="5"/>
      <c r="F844" s="5"/>
      <c r="G844" s="5"/>
      <c r="H844" s="5"/>
      <c r="I844" s="5"/>
      <c r="J844" s="5"/>
      <c r="K844" s="5"/>
      <c r="L844" s="5"/>
      <c r="M844" s="5"/>
      <c r="N844" s="5"/>
      <c r="O844" s="238"/>
      <c r="P844" s="5"/>
      <c r="Q844" s="5"/>
      <c r="R844" s="5"/>
      <c r="S844" s="5"/>
      <c r="T844" s="5"/>
      <c r="U844" s="5"/>
      <c r="V844" s="5"/>
      <c r="W844" s="5"/>
      <c r="X844" s="5"/>
      <c r="Y844" s="5"/>
      <c r="Z844" s="5"/>
      <c r="AA844" s="5"/>
      <c r="AB844" s="5"/>
      <c r="AC844" s="5"/>
      <c r="AD844" s="5"/>
      <c r="AE844" s="5"/>
      <c r="AF844" s="5"/>
      <c r="AG844" s="5"/>
      <c r="AH844" s="5"/>
    </row>
    <row r="845" spans="1:52" ht="17.25" customHeight="1" x14ac:dyDescent="0.2">
      <c r="A845" s="6"/>
      <c r="B845" s="5"/>
      <c r="C845" s="5"/>
      <c r="D845" s="5"/>
      <c r="E845" s="5"/>
      <c r="F845" s="5"/>
      <c r="G845" s="5"/>
      <c r="H845" s="5"/>
      <c r="I845" s="5"/>
      <c r="J845" s="5"/>
      <c r="K845" s="5"/>
      <c r="L845" s="5"/>
      <c r="M845" s="5"/>
      <c r="N845" s="5"/>
      <c r="O845" s="238"/>
      <c r="P845" s="5"/>
      <c r="Q845" s="5"/>
      <c r="R845" s="5"/>
      <c r="S845" s="5"/>
      <c r="T845" s="5"/>
      <c r="U845" s="5"/>
      <c r="V845" s="5"/>
      <c r="W845" s="5"/>
      <c r="X845" s="5"/>
      <c r="Y845" s="5"/>
      <c r="Z845" s="5"/>
      <c r="AA845" s="5"/>
      <c r="AB845" s="5"/>
      <c r="AC845" s="5"/>
      <c r="AD845" s="5"/>
      <c r="AE845" s="5"/>
      <c r="AF845" s="5"/>
      <c r="AG845" s="5"/>
      <c r="AH845" s="5"/>
    </row>
    <row r="846" spans="1:52" ht="17.25" customHeight="1" x14ac:dyDescent="0.2">
      <c r="A846" s="6"/>
      <c r="B846" s="5"/>
      <c r="C846" s="5"/>
      <c r="D846" s="5"/>
      <c r="E846" s="5"/>
      <c r="F846" s="5"/>
      <c r="G846" s="5"/>
      <c r="H846" s="5"/>
      <c r="I846" s="5"/>
      <c r="J846" s="5"/>
      <c r="K846" s="5"/>
      <c r="L846" s="5"/>
      <c r="M846" s="5"/>
      <c r="N846" s="5"/>
      <c r="O846" s="238"/>
      <c r="P846" s="5"/>
      <c r="Q846" s="5"/>
      <c r="R846" s="5"/>
      <c r="S846" s="5"/>
      <c r="T846" s="5"/>
      <c r="U846" s="5"/>
      <c r="V846" s="5"/>
      <c r="W846" s="5"/>
      <c r="X846" s="5"/>
      <c r="Y846" s="5"/>
      <c r="Z846" s="5"/>
      <c r="AA846" s="5"/>
      <c r="AB846" s="5"/>
      <c r="AC846" s="5"/>
      <c r="AD846" s="5"/>
      <c r="AE846" s="5"/>
      <c r="AF846" s="5"/>
      <c r="AG846" s="5"/>
      <c r="AH846" s="5"/>
    </row>
    <row r="847" spans="1:52" s="3" customFormat="1" ht="17.25" customHeight="1" x14ac:dyDescent="0.2">
      <c r="A847" s="117" t="s">
        <v>471</v>
      </c>
      <c r="O847" s="232"/>
      <c r="Z847" s="5"/>
      <c r="AA847" s="5"/>
      <c r="AB847" s="5"/>
      <c r="AC847" s="5"/>
      <c r="AD847" s="5"/>
      <c r="AE847" s="5"/>
      <c r="AF847" s="5"/>
      <c r="AG847" s="5"/>
      <c r="AH847" s="5"/>
      <c r="AI847" s="5"/>
      <c r="AJ847" s="5"/>
      <c r="AK847" s="5"/>
      <c r="AZ847" s="44"/>
    </row>
    <row r="848" spans="1:52" s="3" customFormat="1" ht="17.25" customHeight="1" x14ac:dyDescent="0.2">
      <c r="A848" s="3" t="s">
        <v>153</v>
      </c>
      <c r="O848" s="232"/>
      <c r="Z848" s="5"/>
      <c r="AA848" s="5"/>
      <c r="AB848" s="5"/>
      <c r="AC848" s="5"/>
      <c r="AD848" s="5"/>
      <c r="AE848" s="5"/>
      <c r="AF848" s="5"/>
      <c r="AG848" s="5"/>
      <c r="AH848" s="5"/>
      <c r="AI848" s="5"/>
      <c r="AJ848" s="5"/>
      <c r="AK848" s="5"/>
      <c r="AZ848" s="44"/>
    </row>
    <row r="849" spans="1:52" s="3" customFormat="1" ht="17.25" customHeight="1" x14ac:dyDescent="0.2">
      <c r="A849" s="3" t="s">
        <v>154</v>
      </c>
      <c r="O849" s="232"/>
      <c r="Z849" s="5"/>
      <c r="AA849" s="5"/>
      <c r="AB849" s="5"/>
      <c r="AC849" s="5"/>
      <c r="AD849" s="5"/>
      <c r="AE849" s="5"/>
      <c r="AF849" s="5"/>
      <c r="AG849" s="5"/>
      <c r="AH849" s="5"/>
      <c r="AI849" s="5"/>
      <c r="AJ849" s="5"/>
      <c r="AK849" s="5"/>
      <c r="AZ849" s="44"/>
    </row>
    <row r="850" spans="1:52" s="3" customFormat="1" ht="17.25" customHeight="1" x14ac:dyDescent="0.2">
      <c r="A850" s="3" t="s">
        <v>155</v>
      </c>
      <c r="O850" s="232"/>
      <c r="Z850" s="5"/>
      <c r="AA850" s="5"/>
      <c r="AB850" s="5"/>
      <c r="AC850" s="5"/>
      <c r="AD850" s="5"/>
      <c r="AE850" s="5"/>
      <c r="AF850" s="5"/>
      <c r="AG850" s="5"/>
      <c r="AH850" s="5"/>
      <c r="AI850" s="5"/>
      <c r="AJ850" s="5"/>
      <c r="AK850" s="5"/>
      <c r="AZ850" s="44"/>
    </row>
    <row r="851" spans="1:52" s="3" customFormat="1" ht="17.25" customHeight="1" x14ac:dyDescent="0.2">
      <c r="A851" s="3" t="s">
        <v>156</v>
      </c>
      <c r="O851" s="232"/>
      <c r="Z851" s="5"/>
      <c r="AA851" s="5"/>
      <c r="AB851" s="5"/>
      <c r="AC851" s="5"/>
      <c r="AD851" s="5"/>
      <c r="AE851" s="5"/>
      <c r="AF851" s="5"/>
      <c r="AG851" s="5"/>
      <c r="AH851" s="5"/>
      <c r="AI851" s="5"/>
      <c r="AJ851" s="5"/>
      <c r="AK851" s="5"/>
      <c r="AZ851" s="44"/>
    </row>
    <row r="852" spans="1:52" s="3" customFormat="1" ht="17.25" customHeight="1" x14ac:dyDescent="0.2">
      <c r="O852" s="232"/>
      <c r="AZ852" s="44"/>
    </row>
    <row r="853" spans="1:52" s="3" customFormat="1" ht="17.25" customHeight="1" x14ac:dyDescent="0.2">
      <c r="A853" s="3" t="s">
        <v>142</v>
      </c>
      <c r="N853" s="5"/>
      <c r="O853" s="238"/>
      <c r="P853" s="5"/>
      <c r="Q853" s="5"/>
      <c r="R853" s="5"/>
      <c r="S853" s="5"/>
      <c r="T853" s="5"/>
      <c r="U853" s="5"/>
      <c r="V853" s="5"/>
      <c r="W853" s="5"/>
      <c r="X853" s="5"/>
      <c r="Y853" s="5"/>
      <c r="Z853" s="5"/>
      <c r="AA853" s="5"/>
      <c r="AB853" s="5"/>
      <c r="AC853" s="5"/>
      <c r="AD853" s="5"/>
      <c r="AE853" s="5"/>
      <c r="AF853" s="5"/>
      <c r="AZ853" s="44"/>
    </row>
    <row r="854" spans="1:52" s="3" customFormat="1" ht="17.25" customHeight="1" x14ac:dyDescent="0.2">
      <c r="N854" s="5"/>
      <c r="O854" s="238"/>
      <c r="P854" s="5"/>
      <c r="Q854" s="5"/>
      <c r="R854" s="5"/>
      <c r="S854" s="5"/>
      <c r="T854" s="5"/>
      <c r="U854" s="5"/>
      <c r="V854" s="5"/>
      <c r="W854" s="5"/>
      <c r="X854" s="5"/>
      <c r="Y854" s="5"/>
      <c r="Z854" s="5"/>
      <c r="AA854" s="5"/>
      <c r="AB854" s="5"/>
      <c r="AC854" s="5"/>
      <c r="AD854" s="5"/>
      <c r="AE854" s="5"/>
      <c r="AF854" s="5"/>
      <c r="AZ854" s="44"/>
    </row>
    <row r="855" spans="1:52" s="3" customFormat="1" ht="17.25" customHeight="1" x14ac:dyDescent="0.2">
      <c r="G855" s="39" t="s">
        <v>4</v>
      </c>
      <c r="N855" s="5"/>
      <c r="O855" s="238"/>
      <c r="P855" s="5"/>
      <c r="Q855" s="5"/>
      <c r="R855" s="5"/>
      <c r="S855" s="5"/>
      <c r="T855" s="5"/>
      <c r="U855" s="5"/>
      <c r="V855" s="5"/>
      <c r="W855" s="5"/>
      <c r="X855" s="5"/>
      <c r="Y855" s="5"/>
      <c r="Z855" s="5"/>
      <c r="AA855" s="5"/>
      <c r="AB855" s="5"/>
      <c r="AC855" s="5"/>
      <c r="AD855" s="5"/>
      <c r="AE855" s="5"/>
      <c r="AF855" s="5"/>
      <c r="AZ855" s="44"/>
    </row>
    <row r="856" spans="1:52" s="3" customFormat="1" ht="17.25" customHeight="1" x14ac:dyDescent="0.2">
      <c r="H856" s="3" t="s">
        <v>143</v>
      </c>
      <c r="N856" s="5"/>
      <c r="O856" s="238"/>
      <c r="P856" s="5"/>
      <c r="Q856" s="5"/>
      <c r="R856" s="5"/>
      <c r="S856" s="5"/>
      <c r="T856" s="5"/>
      <c r="U856" s="5"/>
      <c r="V856" s="5"/>
      <c r="W856" s="5"/>
      <c r="X856" s="5"/>
      <c r="Y856" s="5"/>
      <c r="Z856" s="5"/>
      <c r="AA856" s="5"/>
      <c r="AB856" s="5"/>
      <c r="AC856" s="5"/>
      <c r="AD856" s="5"/>
      <c r="AE856" s="5"/>
      <c r="AF856" s="5"/>
      <c r="AZ856" s="44"/>
    </row>
    <row r="857" spans="1:52" s="3" customFormat="1" ht="17.25" customHeight="1" x14ac:dyDescent="0.2">
      <c r="H857" s="3" t="s">
        <v>157</v>
      </c>
      <c r="N857" s="5"/>
      <c r="O857" s="238"/>
      <c r="P857" s="5"/>
      <c r="Q857" s="5"/>
      <c r="R857" s="5"/>
      <c r="S857" s="5"/>
      <c r="T857" s="5"/>
      <c r="U857" s="5"/>
      <c r="V857" s="5"/>
      <c r="W857" s="5"/>
      <c r="X857" s="5"/>
      <c r="Y857" s="5"/>
      <c r="Z857" s="5"/>
      <c r="AA857" s="5"/>
      <c r="AB857" s="5"/>
      <c r="AC857" s="5"/>
      <c r="AD857" s="5"/>
      <c r="AE857" s="5"/>
      <c r="AF857" s="5"/>
      <c r="AZ857" s="44"/>
    </row>
    <row r="858" spans="1:52" s="3" customFormat="1" ht="17.25" customHeight="1" x14ac:dyDescent="0.2">
      <c r="H858" s="61" t="s">
        <v>144</v>
      </c>
      <c r="N858" s="5"/>
      <c r="O858" s="238"/>
      <c r="P858" s="5"/>
      <c r="Q858" s="5"/>
      <c r="R858" s="5"/>
      <c r="S858" s="5"/>
      <c r="T858" s="5"/>
      <c r="U858" s="5"/>
      <c r="V858" s="5"/>
      <c r="W858" s="5"/>
      <c r="X858" s="5"/>
      <c r="Y858" s="5"/>
      <c r="Z858" s="5"/>
      <c r="AA858" s="5"/>
      <c r="AB858" s="5"/>
      <c r="AC858" s="5"/>
      <c r="AD858" s="5"/>
      <c r="AE858" s="5"/>
      <c r="AF858" s="5"/>
      <c r="AZ858" s="44"/>
    </row>
    <row r="859" spans="1:52" s="3" customFormat="1" ht="17.25" customHeight="1" x14ac:dyDescent="0.2">
      <c r="H859" s="3" t="s">
        <v>145</v>
      </c>
      <c r="N859" s="5"/>
      <c r="O859" s="238"/>
      <c r="P859" s="5"/>
      <c r="Q859" s="5"/>
      <c r="R859" s="5"/>
      <c r="S859" s="5"/>
      <c r="T859" s="5"/>
      <c r="U859" s="5"/>
      <c r="V859" s="5"/>
      <c r="W859" s="5"/>
      <c r="X859" s="5"/>
      <c r="Y859" s="5"/>
      <c r="Z859" s="5"/>
      <c r="AA859" s="5"/>
      <c r="AB859" s="5"/>
      <c r="AC859" s="5"/>
      <c r="AD859" s="5"/>
      <c r="AE859" s="5"/>
      <c r="AF859" s="5"/>
      <c r="AZ859" s="44"/>
    </row>
    <row r="860" spans="1:52" s="3" customFormat="1" ht="17.25" customHeight="1" x14ac:dyDescent="0.2">
      <c r="N860" s="5"/>
      <c r="O860" s="238"/>
      <c r="P860" s="5"/>
      <c r="Q860" s="5"/>
      <c r="R860" s="5"/>
      <c r="S860" s="5"/>
      <c r="T860" s="5"/>
      <c r="U860" s="5"/>
      <c r="V860" s="5"/>
      <c r="W860" s="5"/>
      <c r="X860" s="5"/>
      <c r="Y860" s="5"/>
      <c r="Z860" s="5"/>
      <c r="AA860" s="5"/>
      <c r="AB860" s="5"/>
      <c r="AC860" s="5"/>
      <c r="AD860" s="5"/>
      <c r="AE860" s="5"/>
      <c r="AF860" s="5"/>
      <c r="AZ860" s="44"/>
    </row>
    <row r="861" spans="1:52" s="3" customFormat="1" ht="17.25" customHeight="1" x14ac:dyDescent="0.2">
      <c r="N861" s="5"/>
      <c r="O861" s="238"/>
      <c r="P861" s="5"/>
      <c r="Q861" s="5"/>
      <c r="R861" s="5"/>
      <c r="S861" s="5"/>
      <c r="T861" s="5"/>
      <c r="U861" s="5"/>
      <c r="V861" s="5"/>
      <c r="W861" s="5"/>
      <c r="X861" s="5"/>
      <c r="Y861" s="5"/>
      <c r="Z861" s="5"/>
      <c r="AA861" s="5"/>
      <c r="AB861" s="5"/>
      <c r="AC861" s="5"/>
      <c r="AD861" s="5"/>
      <c r="AE861" s="5"/>
      <c r="AF861" s="5"/>
      <c r="AZ861" s="44"/>
    </row>
    <row r="862" spans="1:52" s="3" customFormat="1" ht="17.25" customHeight="1" x14ac:dyDescent="0.2">
      <c r="N862" s="5"/>
      <c r="O862" s="238"/>
      <c r="P862" s="5"/>
      <c r="Q862" s="5"/>
      <c r="R862" s="5"/>
      <c r="S862" s="5"/>
      <c r="T862" s="5"/>
      <c r="U862" s="5"/>
      <c r="V862" s="5"/>
      <c r="W862" s="5"/>
      <c r="X862" s="5"/>
      <c r="Y862" s="5"/>
      <c r="Z862" s="5"/>
      <c r="AA862" s="5"/>
      <c r="AB862" s="5"/>
      <c r="AC862" s="5"/>
      <c r="AD862" s="5"/>
      <c r="AE862" s="5"/>
      <c r="AF862" s="5"/>
      <c r="AZ862" s="44"/>
    </row>
    <row r="863" spans="1:52" s="3" customFormat="1" ht="17.25" customHeight="1" x14ac:dyDescent="0.2">
      <c r="N863" s="5"/>
      <c r="O863" s="238"/>
      <c r="P863" s="5"/>
      <c r="Q863" s="5"/>
      <c r="R863" s="5"/>
      <c r="S863" s="5"/>
      <c r="T863" s="5"/>
      <c r="U863" s="5"/>
      <c r="V863" s="5"/>
      <c r="W863" s="5"/>
      <c r="X863" s="5"/>
      <c r="Y863" s="5"/>
      <c r="Z863" s="5"/>
      <c r="AA863" s="5"/>
      <c r="AB863" s="5"/>
      <c r="AC863" s="5"/>
      <c r="AD863" s="5"/>
      <c r="AE863" s="5"/>
      <c r="AF863" s="5"/>
      <c r="AZ863" s="44"/>
    </row>
    <row r="864" spans="1:52" s="3" customFormat="1" ht="17.25" customHeight="1" x14ac:dyDescent="0.2">
      <c r="N864" s="5"/>
      <c r="O864" s="238"/>
      <c r="P864" s="5"/>
      <c r="Q864" s="5"/>
      <c r="R864" s="5"/>
      <c r="S864" s="5"/>
      <c r="T864" s="5"/>
      <c r="U864" s="5"/>
      <c r="V864" s="5"/>
      <c r="W864" s="5"/>
      <c r="X864" s="5"/>
      <c r="Y864" s="5"/>
      <c r="Z864" s="5"/>
      <c r="AA864" s="5"/>
      <c r="AB864" s="5"/>
      <c r="AC864" s="5"/>
      <c r="AD864" s="5"/>
      <c r="AE864" s="5"/>
      <c r="AF864" s="5"/>
      <c r="AZ864" s="44"/>
    </row>
    <row r="865" spans="1:52" s="3" customFormat="1" ht="17.25" customHeight="1" x14ac:dyDescent="0.2">
      <c r="N865" s="5"/>
      <c r="O865" s="238"/>
      <c r="P865" s="5"/>
      <c r="Q865" s="5"/>
      <c r="R865" s="5"/>
      <c r="S865" s="5"/>
      <c r="T865" s="5"/>
      <c r="U865" s="5"/>
      <c r="V865" s="5"/>
      <c r="W865" s="5"/>
      <c r="X865" s="5"/>
      <c r="Y865" s="5"/>
      <c r="Z865" s="5"/>
      <c r="AA865" s="5"/>
      <c r="AB865" s="5"/>
      <c r="AC865" s="5"/>
      <c r="AD865" s="5"/>
      <c r="AE865" s="5"/>
      <c r="AF865" s="5"/>
      <c r="AZ865" s="44"/>
    </row>
    <row r="866" spans="1:52" s="3" customFormat="1" ht="17.25" customHeight="1" x14ac:dyDescent="0.2">
      <c r="A866" s="27" t="s">
        <v>158</v>
      </c>
      <c r="N866" s="5"/>
      <c r="O866" s="238"/>
      <c r="P866" s="5"/>
      <c r="Q866" s="5"/>
      <c r="R866" s="5"/>
      <c r="S866" s="5"/>
      <c r="T866" s="5"/>
      <c r="U866" s="5"/>
      <c r="V866" s="5"/>
      <c r="W866" s="5"/>
      <c r="X866" s="5"/>
      <c r="Y866" s="5"/>
      <c r="Z866" s="5"/>
      <c r="AA866" s="5"/>
      <c r="AB866" s="5"/>
      <c r="AC866" s="5"/>
      <c r="AD866" s="5"/>
      <c r="AE866" s="5"/>
      <c r="AF866" s="5"/>
      <c r="AZ866" s="44"/>
    </row>
    <row r="867" spans="1:52" s="3" customFormat="1" ht="17.25" customHeight="1" x14ac:dyDescent="0.2">
      <c r="A867" s="3" t="s">
        <v>146</v>
      </c>
      <c r="N867" s="5"/>
      <c r="O867" s="238"/>
      <c r="P867" s="5"/>
      <c r="Q867" s="5"/>
      <c r="R867" s="5"/>
      <c r="S867" s="5"/>
      <c r="T867" s="5"/>
      <c r="U867" s="5"/>
      <c r="V867" s="5"/>
      <c r="W867" s="5"/>
      <c r="X867" s="5"/>
      <c r="Y867" s="5"/>
      <c r="Z867" s="5"/>
      <c r="AA867" s="5"/>
      <c r="AB867" s="5"/>
      <c r="AC867" s="5"/>
      <c r="AD867" s="5"/>
      <c r="AE867" s="5"/>
      <c r="AF867" s="5"/>
      <c r="AZ867" s="44"/>
    </row>
    <row r="868" spans="1:52" s="3" customFormat="1" ht="17.25" customHeight="1" x14ac:dyDescent="0.2">
      <c r="B868" s="39" t="s">
        <v>161</v>
      </c>
      <c r="C868" s="97">
        <v>115</v>
      </c>
      <c r="D868" s="3" t="s">
        <v>147</v>
      </c>
      <c r="H868" s="39" t="s">
        <v>161</v>
      </c>
      <c r="I868" s="314">
        <v>115</v>
      </c>
      <c r="J868" s="314"/>
      <c r="K868" s="314"/>
      <c r="N868" s="5"/>
      <c r="O868" s="238"/>
      <c r="P868" s="5"/>
      <c r="Q868" s="5"/>
      <c r="R868" s="5"/>
      <c r="S868" s="5"/>
      <c r="T868" s="5"/>
      <c r="U868" s="5"/>
      <c r="V868" s="5"/>
      <c r="W868" s="5"/>
      <c r="X868" s="5"/>
      <c r="Y868" s="5"/>
      <c r="Z868" s="5"/>
      <c r="AA868" s="5"/>
      <c r="AB868" s="5"/>
      <c r="AC868" s="5"/>
      <c r="AD868" s="5"/>
      <c r="AE868" s="5"/>
      <c r="AF868" s="5"/>
      <c r="AZ868" s="44"/>
    </row>
    <row r="869" spans="1:52" s="3" customFormat="1" ht="17.25" customHeight="1" x14ac:dyDescent="0.2">
      <c r="B869" s="39" t="s">
        <v>161</v>
      </c>
      <c r="C869" s="97">
        <v>95</v>
      </c>
      <c r="D869" s="3" t="s">
        <v>148</v>
      </c>
      <c r="N869" s="5"/>
      <c r="O869" s="238"/>
      <c r="P869" s="5"/>
      <c r="Q869" s="5"/>
      <c r="R869" s="5"/>
      <c r="S869" s="5"/>
      <c r="T869" s="5"/>
      <c r="U869" s="5"/>
      <c r="V869" s="5"/>
      <c r="W869" s="5"/>
      <c r="X869" s="5"/>
      <c r="Y869" s="5"/>
      <c r="Z869" s="5"/>
      <c r="AA869" s="5"/>
      <c r="AB869" s="5"/>
      <c r="AC869" s="5"/>
      <c r="AD869" s="5"/>
      <c r="AE869" s="5"/>
      <c r="AF869" s="5"/>
      <c r="AZ869" s="44"/>
    </row>
    <row r="870" spans="1:52" s="3" customFormat="1" ht="17.25" customHeight="1" x14ac:dyDescent="0.2">
      <c r="H870" s="43"/>
      <c r="N870" s="5"/>
      <c r="O870" s="238"/>
      <c r="P870" s="5"/>
      <c r="Q870" s="5"/>
      <c r="R870" s="5"/>
      <c r="S870" s="5"/>
      <c r="T870" s="5"/>
      <c r="U870" s="5"/>
      <c r="V870" s="5"/>
      <c r="W870" s="5"/>
      <c r="X870" s="5"/>
      <c r="Y870" s="5"/>
      <c r="Z870" s="5"/>
      <c r="AA870" s="5"/>
      <c r="AB870" s="5"/>
      <c r="AC870" s="5"/>
      <c r="AD870" s="5"/>
      <c r="AE870" s="5"/>
      <c r="AF870" s="5"/>
      <c r="AZ870" s="44"/>
    </row>
    <row r="871" spans="1:52" s="3" customFormat="1" ht="17.25" customHeight="1" x14ac:dyDescent="0.2">
      <c r="A871" s="27" t="s">
        <v>159</v>
      </c>
      <c r="N871" s="5"/>
      <c r="O871" s="238"/>
      <c r="P871" s="5"/>
      <c r="Q871" s="5"/>
      <c r="R871" s="5"/>
      <c r="S871" s="5"/>
      <c r="T871" s="5"/>
      <c r="U871" s="5"/>
      <c r="V871" s="5"/>
      <c r="W871" s="5"/>
      <c r="X871" s="5"/>
      <c r="Y871" s="5"/>
      <c r="Z871" s="5"/>
      <c r="AA871" s="5"/>
      <c r="AB871" s="5"/>
      <c r="AC871" s="5"/>
      <c r="AD871" s="5"/>
      <c r="AE871" s="5"/>
      <c r="AF871" s="5"/>
      <c r="AZ871" s="44"/>
    </row>
    <row r="872" spans="1:52" s="3" customFormat="1" ht="17.25" customHeight="1" x14ac:dyDescent="0.2">
      <c r="B872" s="39" t="s">
        <v>73</v>
      </c>
      <c r="C872" s="98">
        <f>E686</f>
        <v>59738.041889820001</v>
      </c>
      <c r="N872" s="99" t="s">
        <v>165</v>
      </c>
      <c r="O872" s="239" t="s">
        <v>166</v>
      </c>
      <c r="P872" s="100" t="s">
        <v>167</v>
      </c>
      <c r="AA872" s="44"/>
      <c r="AC872" s="5"/>
      <c r="AD872" s="5"/>
      <c r="AE872" s="5"/>
      <c r="AF872" s="5"/>
      <c r="AZ872" s="44"/>
    </row>
    <row r="873" spans="1:52" s="3" customFormat="1" ht="17.25" customHeight="1" x14ac:dyDescent="0.2">
      <c r="B873" s="39" t="s">
        <v>125</v>
      </c>
      <c r="C873" s="98">
        <f>C872*0.45</f>
        <v>26882.118850419</v>
      </c>
      <c r="D873" s="3" t="s">
        <v>149</v>
      </c>
      <c r="H873" s="67"/>
      <c r="K873" s="43"/>
      <c r="L873" s="43"/>
      <c r="N873" s="101">
        <v>0.375</v>
      </c>
      <c r="O873" s="240">
        <v>0.71</v>
      </c>
      <c r="P873" s="102">
        <v>0.95</v>
      </c>
      <c r="AC873" s="5"/>
      <c r="AD873" s="5"/>
      <c r="AE873" s="5"/>
      <c r="AF873" s="5"/>
      <c r="AZ873" s="44"/>
    </row>
    <row r="874" spans="1:52" s="3" customFormat="1" ht="17.25" customHeight="1" x14ac:dyDescent="0.2">
      <c r="K874" s="43"/>
      <c r="L874" s="43"/>
      <c r="N874" s="101">
        <v>0.5</v>
      </c>
      <c r="O874" s="240">
        <v>1.27</v>
      </c>
      <c r="P874" s="102">
        <v>1.27</v>
      </c>
      <c r="AC874" s="5"/>
      <c r="AD874" s="5"/>
      <c r="AE874" s="5"/>
      <c r="AF874" s="5"/>
      <c r="AZ874" s="44"/>
    </row>
    <row r="875" spans="1:52" s="3" customFormat="1" ht="17.25" customHeight="1" x14ac:dyDescent="0.2">
      <c r="A875" s="27" t="s">
        <v>160</v>
      </c>
      <c r="K875" s="43"/>
      <c r="L875" s="43"/>
      <c r="N875" s="101">
        <v>0.625</v>
      </c>
      <c r="O875" s="240">
        <v>1.98</v>
      </c>
      <c r="P875" s="102">
        <v>1.59</v>
      </c>
      <c r="AC875" s="5"/>
      <c r="AD875" s="5"/>
      <c r="AE875" s="5"/>
      <c r="AF875" s="5"/>
      <c r="AZ875" s="44"/>
    </row>
    <row r="876" spans="1:52" s="3" customFormat="1" ht="17.25" customHeight="1" x14ac:dyDescent="0.2">
      <c r="B876" s="39" t="s">
        <v>162</v>
      </c>
      <c r="C876" s="103">
        <f>B69</f>
        <v>5</v>
      </c>
      <c r="D876" s="43" t="s">
        <v>1</v>
      </c>
      <c r="E876" s="104">
        <f>C876*0.3937008</f>
        <v>1.968504</v>
      </c>
      <c r="F876" s="3" t="s">
        <v>150</v>
      </c>
      <c r="K876" s="43"/>
      <c r="L876" s="43"/>
      <c r="N876" s="101">
        <v>0.75</v>
      </c>
      <c r="O876" s="240">
        <v>2.85</v>
      </c>
      <c r="P876" s="102">
        <v>1.91</v>
      </c>
      <c r="AC876" s="5"/>
      <c r="AD876" s="5"/>
      <c r="AE876" s="5"/>
      <c r="AF876" s="5"/>
      <c r="AZ876" s="44"/>
    </row>
    <row r="877" spans="1:52" s="3" customFormat="1" ht="17.25" customHeight="1" x14ac:dyDescent="0.2">
      <c r="B877" s="39" t="s">
        <v>124</v>
      </c>
      <c r="C877" s="105">
        <v>0.5</v>
      </c>
      <c r="D877" s="106" t="s">
        <v>151</v>
      </c>
      <c r="E877" s="106"/>
      <c r="F877" s="106"/>
      <c r="G877" s="106"/>
      <c r="N877" s="101">
        <v>1</v>
      </c>
      <c r="O877" s="240">
        <v>5.07</v>
      </c>
      <c r="P877" s="102">
        <v>2.54</v>
      </c>
      <c r="AC877" s="5"/>
      <c r="AD877" s="5"/>
      <c r="AE877" s="5"/>
      <c r="AF877" s="5"/>
      <c r="AZ877" s="44"/>
    </row>
    <row r="878" spans="1:52" s="3" customFormat="1" ht="17.25" customHeight="1" x14ac:dyDescent="0.2">
      <c r="B878" s="39" t="s">
        <v>163</v>
      </c>
      <c r="C878" s="104">
        <f>E876+C877/2</f>
        <v>2.2185040000000003</v>
      </c>
      <c r="D878" s="107"/>
      <c r="E878" s="107"/>
      <c r="F878" s="107"/>
      <c r="G878" s="107"/>
      <c r="H878" s="107"/>
      <c r="N878" s="101">
        <v>1.125</v>
      </c>
      <c r="O878" s="240">
        <v>6.45</v>
      </c>
      <c r="P878" s="108">
        <f>N878*2.54</f>
        <v>2.8574999999999999</v>
      </c>
      <c r="AC878" s="5"/>
      <c r="AD878" s="5"/>
      <c r="AE878" s="5"/>
      <c r="AF878" s="5"/>
      <c r="AZ878" s="44"/>
    </row>
    <row r="879" spans="1:52" s="3" customFormat="1" ht="17.25" customHeight="1" thickBot="1" x14ac:dyDescent="0.25">
      <c r="N879" s="101">
        <v>1.25</v>
      </c>
      <c r="O879" s="240">
        <v>8.19</v>
      </c>
      <c r="P879" s="108">
        <f>N879*2.54</f>
        <v>3.1749999999999998</v>
      </c>
      <c r="AC879" s="5"/>
      <c r="AD879" s="5"/>
      <c r="AE879" s="5"/>
      <c r="AF879" s="5"/>
      <c r="AZ879" s="44"/>
    </row>
    <row r="880" spans="1:52" s="3" customFormat="1" ht="21.75" customHeight="1" thickBot="1" x14ac:dyDescent="0.25">
      <c r="A880" s="13" t="s">
        <v>152</v>
      </c>
      <c r="E880" s="181" t="s">
        <v>164</v>
      </c>
      <c r="F880" s="182">
        <f>(0.5*((I868*1000)/C873)^3)/(C878^2)</f>
        <v>7.9533959289475735</v>
      </c>
      <c r="G880" s="183" t="s">
        <v>1</v>
      </c>
      <c r="H880" s="295">
        <f>F880*2.54</f>
        <v>20.201625659526837</v>
      </c>
      <c r="I880" s="296"/>
      <c r="N880" s="101">
        <v>1.375</v>
      </c>
      <c r="O880" s="240">
        <v>9.58</v>
      </c>
      <c r="P880" s="102">
        <v>3.49</v>
      </c>
      <c r="AC880" s="5"/>
      <c r="AD880" s="5"/>
      <c r="AE880" s="5"/>
      <c r="AF880" s="5"/>
      <c r="AZ880" s="44"/>
    </row>
    <row r="881" spans="1:53" s="3" customFormat="1" ht="17.25" customHeight="1" x14ac:dyDescent="0.2">
      <c r="N881" s="5"/>
      <c r="O881" s="232"/>
      <c r="AC881" s="5"/>
      <c r="AD881" s="5"/>
      <c r="AE881" s="5"/>
      <c r="AF881" s="5"/>
      <c r="AZ881" s="44"/>
    </row>
    <row r="882" spans="1:53" s="3" customFormat="1" ht="17.25" customHeight="1" x14ac:dyDescent="0.2">
      <c r="O882" s="232"/>
      <c r="AC882" s="5"/>
      <c r="AD882" s="5"/>
      <c r="AE882" s="5"/>
      <c r="AF882" s="5"/>
      <c r="AZ882" s="44"/>
    </row>
    <row r="883" spans="1:53" ht="17.25" customHeight="1" x14ac:dyDescent="0.2">
      <c r="A883" s="117" t="s">
        <v>472</v>
      </c>
      <c r="B883" s="5"/>
      <c r="C883" s="5"/>
      <c r="D883" s="5"/>
      <c r="E883" s="5"/>
      <c r="F883" s="5"/>
      <c r="G883" s="5"/>
      <c r="H883" s="5"/>
      <c r="I883" s="5"/>
      <c r="J883" s="5"/>
      <c r="K883" s="5"/>
      <c r="L883" s="5"/>
      <c r="M883" s="5"/>
      <c r="Q883" s="5"/>
      <c r="R883" s="5"/>
      <c r="S883" s="5"/>
      <c r="T883" s="5"/>
      <c r="U883" s="5"/>
      <c r="V883" s="5"/>
      <c r="W883" s="5"/>
      <c r="X883" s="5"/>
      <c r="Y883" s="5"/>
      <c r="Z883" s="5"/>
      <c r="AA883" s="5"/>
      <c r="AB883" s="5"/>
      <c r="AC883" s="5"/>
      <c r="AD883" s="5"/>
      <c r="AE883" s="5"/>
      <c r="AF883" s="5"/>
      <c r="AG883" s="5"/>
      <c r="AH883" s="5"/>
    </row>
    <row r="884" spans="1:53" s="3" customFormat="1" ht="17.25" customHeight="1" x14ac:dyDescent="0.2">
      <c r="A884" s="169" t="s">
        <v>473</v>
      </c>
      <c r="O884" s="232"/>
      <c r="AZ884" s="44"/>
    </row>
    <row r="885" spans="1:53" s="3" customFormat="1" ht="17.25" customHeight="1" x14ac:dyDescent="0.2">
      <c r="A885" s="3" t="s">
        <v>168</v>
      </c>
      <c r="O885" s="232"/>
      <c r="Q885" s="5"/>
      <c r="R885" s="5"/>
      <c r="S885" s="5"/>
      <c r="T885" s="5"/>
      <c r="U885" s="5"/>
      <c r="V885" s="5"/>
      <c r="W885" s="5"/>
      <c r="X885" s="5"/>
      <c r="AV885" s="10"/>
      <c r="AW885" s="10"/>
      <c r="AX885" s="10"/>
      <c r="AY885" s="10"/>
      <c r="AZ885" s="10"/>
      <c r="BA885" s="10"/>
    </row>
    <row r="886" spans="1:53" s="3" customFormat="1" ht="17.25" customHeight="1" thickBot="1" x14ac:dyDescent="0.25">
      <c r="O886" s="232"/>
      <c r="W886" s="5"/>
      <c r="X886" s="5"/>
      <c r="AV886" s="10"/>
      <c r="AW886" s="10"/>
      <c r="AX886" s="10"/>
      <c r="AY886" s="10"/>
      <c r="AZ886" s="10"/>
      <c r="BA886" s="10"/>
    </row>
    <row r="887" spans="1:53" s="3" customFormat="1" ht="30.75" customHeight="1" thickBot="1" x14ac:dyDescent="0.25">
      <c r="E887" s="244" t="s">
        <v>173</v>
      </c>
      <c r="F887" s="245" t="s">
        <v>169</v>
      </c>
      <c r="G887" s="245" t="s">
        <v>170</v>
      </c>
      <c r="H887" s="290" t="s">
        <v>171</v>
      </c>
      <c r="I887" s="291"/>
      <c r="O887" s="232"/>
      <c r="W887" s="5"/>
      <c r="X887" s="5"/>
      <c r="AV887" s="10"/>
      <c r="AW887" s="10"/>
      <c r="AX887" s="10"/>
      <c r="AY887" s="10"/>
      <c r="AZ887" s="10"/>
      <c r="BA887" s="10"/>
    </row>
    <row r="888" spans="1:53" s="3" customFormat="1" ht="17.25" customHeight="1" thickBot="1" x14ac:dyDescent="0.25">
      <c r="N888" s="99" t="s">
        <v>165</v>
      </c>
      <c r="O888" s="239" t="s">
        <v>166</v>
      </c>
      <c r="P888" s="100" t="s">
        <v>167</v>
      </c>
      <c r="Q888" s="5"/>
      <c r="R888" s="5"/>
      <c r="S888" s="201"/>
      <c r="V888" s="5"/>
      <c r="W888" s="5"/>
      <c r="X888" s="5"/>
      <c r="AV888" s="10"/>
      <c r="AW888" s="10"/>
      <c r="AX888" s="10"/>
      <c r="AY888" s="10"/>
      <c r="AZ888" s="10"/>
      <c r="BA888" s="10"/>
    </row>
    <row r="889" spans="1:53" ht="17.25" customHeight="1" x14ac:dyDescent="0.2">
      <c r="A889" s="10"/>
      <c r="B889" s="5"/>
      <c r="C889" s="5"/>
      <c r="D889" s="315" t="s">
        <v>178</v>
      </c>
      <c r="E889" s="297"/>
      <c r="F889" s="297" t="s">
        <v>174</v>
      </c>
      <c r="G889" s="297"/>
      <c r="H889" s="297" t="s">
        <v>557</v>
      </c>
      <c r="I889" s="298"/>
      <c r="K889" s="5"/>
      <c r="L889" s="3"/>
      <c r="M889" s="5"/>
      <c r="N889" s="101">
        <v>0.375</v>
      </c>
      <c r="O889" s="240">
        <v>0.71</v>
      </c>
      <c r="P889" s="102">
        <v>0.95</v>
      </c>
      <c r="V889" s="5"/>
      <c r="W889" s="5"/>
      <c r="X889" s="5"/>
      <c r="Y889" s="5"/>
      <c r="Z889" s="5"/>
      <c r="AA889" s="5"/>
      <c r="AB889" s="5"/>
      <c r="AC889" s="5"/>
      <c r="AD889" s="5"/>
      <c r="AE889" s="5"/>
      <c r="AF889" s="5"/>
      <c r="AG889" s="5"/>
      <c r="AH889" s="5"/>
    </row>
    <row r="890" spans="1:53" s="49" customFormat="1" ht="21" customHeight="1" x14ac:dyDescent="0.2">
      <c r="A890" s="12"/>
      <c r="D890" s="316"/>
      <c r="E890" s="299"/>
      <c r="F890" s="299"/>
      <c r="G890" s="299"/>
      <c r="H890" s="299"/>
      <c r="I890" s="300"/>
      <c r="L890" s="3"/>
      <c r="M890" s="8"/>
      <c r="N890" s="101">
        <v>0.5</v>
      </c>
      <c r="O890" s="240">
        <v>1.27</v>
      </c>
      <c r="P890" s="102">
        <v>1.27</v>
      </c>
      <c r="V890" s="111"/>
      <c r="W890" s="111"/>
      <c r="X890" s="111"/>
      <c r="Y890" s="111"/>
      <c r="Z890" s="111"/>
      <c r="AA890" s="111"/>
      <c r="AB890" s="111"/>
      <c r="AC890" s="111"/>
      <c r="AD890" s="111"/>
      <c r="AE890" s="111"/>
      <c r="AF890" s="111"/>
      <c r="AG890" s="111"/>
      <c r="AH890" s="111"/>
    </row>
    <row r="891" spans="1:53" s="43" customFormat="1" ht="23.25" customHeight="1" thickBot="1" x14ac:dyDescent="0.25">
      <c r="D891" s="317">
        <f>D798</f>
        <v>3.470674603174603</v>
      </c>
      <c r="E891" s="312"/>
      <c r="F891" s="312">
        <f>F719</f>
        <v>6.666666666666667</v>
      </c>
      <c r="G891" s="312"/>
      <c r="H891" s="312">
        <f>D891+F891</f>
        <v>10.13734126984127</v>
      </c>
      <c r="I891" s="313"/>
      <c r="L891" s="3"/>
      <c r="N891" s="101">
        <v>0.625</v>
      </c>
      <c r="O891" s="240">
        <v>1.98</v>
      </c>
      <c r="P891" s="102">
        <v>1.59</v>
      </c>
      <c r="AV891" s="49"/>
      <c r="AW891" s="49"/>
      <c r="AX891" s="49"/>
      <c r="AY891" s="49"/>
      <c r="AZ891" s="49"/>
      <c r="BA891" s="49"/>
    </row>
    <row r="892" spans="1:53" s="43" customFormat="1" ht="17.25" customHeight="1" x14ac:dyDescent="0.2">
      <c r="I892" s="3"/>
      <c r="J892" s="3"/>
      <c r="K892" s="3"/>
      <c r="L892" s="3"/>
      <c r="N892" s="101">
        <v>0.75</v>
      </c>
      <c r="O892" s="240">
        <v>2.85</v>
      </c>
      <c r="P892" s="102">
        <v>1.91</v>
      </c>
      <c r="AV892" s="49"/>
      <c r="AW892" s="49"/>
      <c r="AX892" s="49"/>
      <c r="AY892" s="49"/>
      <c r="AZ892" s="49"/>
      <c r="BA892" s="49"/>
    </row>
    <row r="893" spans="1:53" s="43" customFormat="1" ht="17.25" customHeight="1" x14ac:dyDescent="0.2">
      <c r="A893" s="13" t="s">
        <v>172</v>
      </c>
      <c r="B893" s="42"/>
      <c r="C893" s="42"/>
      <c r="D893" s="42"/>
      <c r="E893" s="42"/>
      <c r="F893" s="42"/>
      <c r="G893" s="42"/>
      <c r="H893" s="42"/>
      <c r="I893" s="3"/>
      <c r="J893" s="3"/>
      <c r="K893" s="3"/>
      <c r="L893" s="3"/>
      <c r="N893" s="101">
        <v>1</v>
      </c>
      <c r="O893" s="240">
        <v>5.07</v>
      </c>
      <c r="P893" s="102">
        <v>2.54</v>
      </c>
      <c r="AV893" s="49"/>
      <c r="AW893" s="49"/>
      <c r="AX893" s="49"/>
      <c r="AY893" s="49"/>
      <c r="AZ893" s="49"/>
      <c r="BA893" s="49"/>
    </row>
    <row r="894" spans="1:53" s="43" customFormat="1" ht="17.25" customHeight="1" x14ac:dyDescent="0.2">
      <c r="A894" s="13"/>
      <c r="B894" s="42"/>
      <c r="C894" s="42"/>
      <c r="D894" s="42"/>
      <c r="E894" s="42"/>
      <c r="F894" s="42"/>
      <c r="G894" s="42"/>
      <c r="H894" s="42"/>
      <c r="I894" s="3"/>
      <c r="J894" s="3"/>
      <c r="K894" s="3"/>
      <c r="L894" s="3"/>
      <c r="N894" s="101">
        <v>1.125</v>
      </c>
      <c r="O894" s="240">
        <v>6.45</v>
      </c>
      <c r="P894" s="108">
        <f>N894*2.54</f>
        <v>2.8574999999999999</v>
      </c>
      <c r="AV894" s="49"/>
      <c r="AW894" s="49"/>
      <c r="AX894" s="49"/>
      <c r="AY894" s="49"/>
      <c r="AZ894" s="49"/>
      <c r="BA894" s="49"/>
    </row>
    <row r="895" spans="1:53" s="3" customFormat="1" ht="17.25" customHeight="1" thickBot="1" x14ac:dyDescent="0.25">
      <c r="B895" s="112" t="s">
        <v>180</v>
      </c>
      <c r="N895" s="101">
        <v>1.25</v>
      </c>
      <c r="O895" s="240">
        <v>8.19</v>
      </c>
      <c r="P895" s="108">
        <f>N895*2.54</f>
        <v>3.1749999999999998</v>
      </c>
      <c r="AV895" s="10"/>
      <c r="AW895" s="10"/>
      <c r="AX895" s="10"/>
      <c r="AY895" s="10"/>
      <c r="AZ895" s="10"/>
      <c r="BA895" s="10"/>
    </row>
    <row r="896" spans="1:53" ht="17.25" customHeight="1" x14ac:dyDescent="0.2">
      <c r="A896" s="6"/>
      <c r="B896" s="10"/>
      <c r="C896" s="10"/>
      <c r="D896" s="294" t="s">
        <v>179</v>
      </c>
      <c r="E896" s="288"/>
      <c r="F896" s="288"/>
      <c r="G896" s="288"/>
      <c r="H896" s="288"/>
      <c r="I896" s="288"/>
      <c r="J896" s="289"/>
      <c r="K896" s="3"/>
      <c r="L896" s="3"/>
      <c r="M896" s="5"/>
      <c r="N896" s="101">
        <v>1.375</v>
      </c>
      <c r="O896" s="240">
        <v>9.58</v>
      </c>
      <c r="P896" s="102">
        <v>3.49</v>
      </c>
      <c r="Y896" s="5"/>
      <c r="Z896" s="5"/>
      <c r="AA896" s="5"/>
      <c r="AB896" s="5"/>
      <c r="AC896" s="5"/>
      <c r="AD896" s="5"/>
      <c r="AE896" s="5"/>
      <c r="AF896" s="5"/>
      <c r="AG896" s="5"/>
      <c r="AH896" s="5"/>
    </row>
    <row r="897" spans="1:53" ht="17.25" customHeight="1" thickBot="1" x14ac:dyDescent="0.25">
      <c r="A897" s="6"/>
      <c r="B897" s="10"/>
      <c r="C897" s="10"/>
      <c r="D897" s="202">
        <f>ROUNDUP(H891/(VLOOKUP(F897,$N$889:$P$896,2)),0)</f>
        <v>8</v>
      </c>
      <c r="E897" s="203" t="s">
        <v>175</v>
      </c>
      <c r="F897" s="113">
        <v>0.5</v>
      </c>
      <c r="G897" s="203" t="s">
        <v>176</v>
      </c>
      <c r="H897" s="203" t="s">
        <v>177</v>
      </c>
      <c r="I897" s="204">
        <f>1/D897</f>
        <v>0.125</v>
      </c>
      <c r="J897" s="205" t="s">
        <v>0</v>
      </c>
      <c r="K897" s="3"/>
      <c r="L897" s="3"/>
      <c r="M897" s="5"/>
      <c r="N897" s="187"/>
      <c r="O897" s="241"/>
      <c r="P897" s="188"/>
      <c r="Y897" s="5"/>
      <c r="Z897" s="5"/>
      <c r="AA897" s="5"/>
      <c r="AB897" s="5"/>
      <c r="AC897" s="5"/>
      <c r="AD897" s="5"/>
      <c r="AE897" s="5"/>
      <c r="AF897" s="5"/>
      <c r="AG897" s="5"/>
      <c r="AH897" s="5"/>
    </row>
    <row r="898" spans="1:53" s="49" customFormat="1" ht="17.25" customHeight="1" x14ac:dyDescent="0.2">
      <c r="A898" s="12"/>
      <c r="I898" s="3"/>
      <c r="J898" s="3"/>
      <c r="K898" s="3"/>
      <c r="L898" s="3"/>
      <c r="M898" s="111"/>
      <c r="O898" s="242"/>
      <c r="U898" s="111"/>
      <c r="V898" s="111"/>
      <c r="W898" s="111"/>
      <c r="X898" s="111"/>
      <c r="Y898" s="111"/>
      <c r="Z898" s="111"/>
      <c r="AA898" s="111"/>
      <c r="AB898" s="111"/>
      <c r="AC898" s="111"/>
      <c r="AD898" s="111"/>
      <c r="AE898" s="111"/>
      <c r="AF898" s="111"/>
      <c r="AG898" s="111"/>
      <c r="AH898" s="111"/>
    </row>
    <row r="899" spans="1:53" s="49" customFormat="1" ht="17.25" customHeight="1" x14ac:dyDescent="0.2">
      <c r="A899" s="12"/>
      <c r="I899" s="3"/>
      <c r="J899" s="3"/>
      <c r="K899" s="3"/>
      <c r="L899" s="3"/>
      <c r="M899" s="111"/>
      <c r="O899" s="242"/>
      <c r="U899" s="111"/>
      <c r="V899" s="111"/>
      <c r="W899" s="111"/>
      <c r="X899" s="111"/>
      <c r="Y899" s="111"/>
      <c r="Z899" s="111"/>
      <c r="AA899" s="111"/>
      <c r="AB899" s="111"/>
      <c r="AC899" s="111"/>
      <c r="AD899" s="111"/>
      <c r="AE899" s="111"/>
      <c r="AF899" s="111"/>
      <c r="AG899" s="111"/>
      <c r="AH899" s="111"/>
    </row>
    <row r="900" spans="1:53" ht="17.25" customHeight="1" x14ac:dyDescent="0.2">
      <c r="A900" s="6"/>
      <c r="B900" s="5"/>
      <c r="C900" s="5"/>
      <c r="D900" s="5"/>
      <c r="E900" s="5"/>
      <c r="F900" s="5"/>
      <c r="G900" s="5"/>
      <c r="H900" s="5"/>
      <c r="I900" s="3"/>
      <c r="J900" s="3"/>
      <c r="K900" s="3"/>
      <c r="L900" s="3"/>
      <c r="M900" s="5"/>
      <c r="T900" s="5"/>
      <c r="U900" s="5"/>
      <c r="V900" s="5"/>
      <c r="W900" s="5"/>
      <c r="X900" s="5"/>
      <c r="Y900" s="5"/>
      <c r="Z900" s="5"/>
      <c r="AA900" s="5"/>
      <c r="AB900" s="5"/>
      <c r="AC900" s="5"/>
      <c r="AD900" s="5"/>
      <c r="AE900" s="5"/>
      <c r="AF900" s="5"/>
      <c r="AG900" s="5"/>
      <c r="AH900" s="5"/>
    </row>
    <row r="901" spans="1:53" s="3" customFormat="1" ht="17.25" customHeight="1" x14ac:dyDescent="0.2">
      <c r="A901" s="169" t="s">
        <v>474</v>
      </c>
      <c r="O901" s="232"/>
      <c r="AZ901" s="44"/>
    </row>
    <row r="902" spans="1:53" s="3" customFormat="1" ht="17.25" customHeight="1" thickBot="1" x14ac:dyDescent="0.25">
      <c r="A902" s="3" t="s">
        <v>183</v>
      </c>
      <c r="O902" s="232"/>
      <c r="X902" s="5"/>
      <c r="AV902" s="10"/>
      <c r="AW902" s="10"/>
      <c r="AX902" s="10"/>
      <c r="AY902" s="10"/>
      <c r="AZ902" s="10"/>
      <c r="BA902" s="10"/>
    </row>
    <row r="903" spans="1:53" s="3" customFormat="1" ht="27" customHeight="1" thickBot="1" x14ac:dyDescent="0.25">
      <c r="E903" s="244" t="s">
        <v>173</v>
      </c>
      <c r="F903" s="245" t="s">
        <v>169</v>
      </c>
      <c r="G903" s="245" t="s">
        <v>170</v>
      </c>
      <c r="H903" s="290" t="s">
        <v>171</v>
      </c>
      <c r="I903" s="291"/>
      <c r="O903" s="232"/>
      <c r="X903" s="5"/>
      <c r="AV903" s="10"/>
      <c r="AW903" s="10"/>
      <c r="AX903" s="10"/>
      <c r="AY903" s="10"/>
      <c r="AZ903" s="10"/>
      <c r="BA903" s="10"/>
    </row>
    <row r="904" spans="1:53" s="3" customFormat="1" ht="10.5" customHeight="1" x14ac:dyDescent="0.2">
      <c r="O904" s="232"/>
      <c r="S904" s="5"/>
      <c r="T904" s="5"/>
      <c r="U904" s="5"/>
      <c r="V904" s="5"/>
      <c r="W904" s="5"/>
      <c r="X904" s="5"/>
      <c r="AV904" s="10"/>
      <c r="AW904" s="10"/>
      <c r="AX904" s="10"/>
      <c r="AY904" s="10"/>
      <c r="AZ904" s="10"/>
      <c r="BA904" s="10"/>
    </row>
    <row r="905" spans="1:53" s="3" customFormat="1" ht="17.25" customHeight="1" x14ac:dyDescent="0.2">
      <c r="A905" s="13" t="s">
        <v>184</v>
      </c>
      <c r="D905" s="43"/>
      <c r="E905" s="43"/>
      <c r="F905" s="43"/>
      <c r="G905" s="43"/>
      <c r="O905" s="232"/>
      <c r="S905" s="5"/>
      <c r="T905" s="5"/>
      <c r="U905" s="5"/>
      <c r="V905" s="5"/>
      <c r="W905" s="5"/>
      <c r="X905" s="5"/>
      <c r="AV905" s="10"/>
      <c r="AW905" s="10"/>
      <c r="AX905" s="10"/>
      <c r="AY905" s="10"/>
      <c r="AZ905" s="10"/>
      <c r="BA905" s="10"/>
    </row>
    <row r="906" spans="1:53" s="3" customFormat="1" ht="17.25" customHeight="1" x14ac:dyDescent="0.2">
      <c r="B906" s="39" t="s">
        <v>122</v>
      </c>
      <c r="C906" s="292">
        <v>1.0249999999999999</v>
      </c>
      <c r="D906" s="292"/>
      <c r="E906" s="27" t="s">
        <v>506</v>
      </c>
      <c r="F906" s="27"/>
      <c r="G906" s="27"/>
      <c r="H906" s="86"/>
      <c r="O906" s="232"/>
      <c r="AP906" s="311"/>
      <c r="AQ906" s="311"/>
      <c r="AR906" s="311"/>
      <c r="AS906" s="311"/>
      <c r="AZ906" s="44"/>
    </row>
    <row r="907" spans="1:53" s="3" customFormat="1" ht="17.25" customHeight="1" x14ac:dyDescent="0.2">
      <c r="B907" s="39" t="s">
        <v>123</v>
      </c>
      <c r="C907" s="293">
        <f>C906*1000*1.65</f>
        <v>1691.25</v>
      </c>
      <c r="D907" s="293"/>
      <c r="E907" s="3" t="s">
        <v>116</v>
      </c>
      <c r="H907" s="55"/>
      <c r="O907" s="232"/>
      <c r="AZ907" s="44"/>
    </row>
    <row r="908" spans="1:53" s="3" customFormat="1" ht="17.25" customHeight="1" x14ac:dyDescent="0.2">
      <c r="B908" s="39" t="s">
        <v>124</v>
      </c>
      <c r="C908" s="274">
        <v>0.9</v>
      </c>
      <c r="D908" s="274"/>
      <c r="E908" s="3" t="s">
        <v>117</v>
      </c>
      <c r="H908" s="89"/>
      <c r="O908" s="87"/>
      <c r="AZ908" s="44"/>
    </row>
    <row r="909" spans="1:53" s="3" customFormat="1" ht="17.25" customHeight="1" x14ac:dyDescent="0.2">
      <c r="B909" s="39" t="s">
        <v>73</v>
      </c>
      <c r="C909" s="273">
        <f>$C$749</f>
        <v>4200</v>
      </c>
      <c r="D909" s="273"/>
      <c r="E909" s="3" t="s">
        <v>106</v>
      </c>
      <c r="H909" s="66"/>
      <c r="O909" s="232"/>
      <c r="AZ909" s="44"/>
    </row>
    <row r="910" spans="1:53" s="3" customFormat="1" ht="17.25" customHeight="1" thickBot="1" x14ac:dyDescent="0.25">
      <c r="B910" s="39" t="s">
        <v>125</v>
      </c>
      <c r="C910" s="273">
        <f>C909*0.45</f>
        <v>1890</v>
      </c>
      <c r="D910" s="273"/>
      <c r="E910" s="3" t="s">
        <v>118</v>
      </c>
      <c r="H910" s="66"/>
      <c r="O910" s="232"/>
      <c r="AZ910" s="44"/>
    </row>
    <row r="911" spans="1:53" s="3" customFormat="1" ht="17.25" customHeight="1" x14ac:dyDescent="0.2">
      <c r="O911" s="232"/>
      <c r="T911" s="297"/>
      <c r="AZ911" s="44"/>
    </row>
    <row r="912" spans="1:53" s="3" customFormat="1" ht="17.25" customHeight="1" x14ac:dyDescent="0.2">
      <c r="A912" s="3" t="s">
        <v>119</v>
      </c>
      <c r="O912" s="232"/>
      <c r="T912" s="299"/>
      <c r="AZ912" s="44"/>
    </row>
    <row r="913" spans="1:53" s="3" customFormat="1" ht="17.25" customHeight="1" thickBot="1" x14ac:dyDescent="0.25">
      <c r="N913" s="99" t="s">
        <v>165</v>
      </c>
      <c r="O913" s="239" t="s">
        <v>166</v>
      </c>
      <c r="P913" s="100" t="s">
        <v>167</v>
      </c>
      <c r="T913" s="201"/>
      <c r="AZ913" s="44"/>
    </row>
    <row r="914" spans="1:53" s="3" customFormat="1" ht="21.75" customHeight="1" thickBot="1" x14ac:dyDescent="0.25">
      <c r="C914" s="175" t="s">
        <v>112</v>
      </c>
      <c r="D914" s="93" t="s">
        <v>120</v>
      </c>
      <c r="E914" s="174"/>
      <c r="F914" s="25"/>
      <c r="G914" s="25"/>
      <c r="I914" s="180" t="s">
        <v>112</v>
      </c>
      <c r="J914" s="270">
        <f>C907/(C908*C909)</f>
        <v>0.44742063492063494</v>
      </c>
      <c r="K914" s="271"/>
      <c r="L914" s="83"/>
      <c r="N914" s="101">
        <v>0.375</v>
      </c>
      <c r="O914" s="240">
        <v>0.71</v>
      </c>
      <c r="P914" s="102">
        <v>0.95</v>
      </c>
      <c r="AZ914" s="44"/>
    </row>
    <row r="915" spans="1:53" s="3" customFormat="1" ht="22.5" customHeight="1" thickBot="1" x14ac:dyDescent="0.25">
      <c r="C915" s="37"/>
      <c r="D915" s="96" t="s">
        <v>121</v>
      </c>
      <c r="E915" s="38"/>
      <c r="I915" s="5"/>
      <c r="J915" s="5"/>
      <c r="K915" s="5"/>
      <c r="L915" s="5"/>
      <c r="M915" s="5"/>
      <c r="N915" s="101">
        <v>0.5</v>
      </c>
      <c r="O915" s="240">
        <v>1.27</v>
      </c>
      <c r="P915" s="102">
        <v>1.27</v>
      </c>
      <c r="Q915" s="5"/>
      <c r="R915" s="5"/>
      <c r="AZ915" s="44"/>
    </row>
    <row r="916" spans="1:53" s="3" customFormat="1" ht="17.25" customHeight="1" x14ac:dyDescent="0.2">
      <c r="D916" s="43"/>
      <c r="E916" s="43"/>
      <c r="F916" s="43"/>
      <c r="G916" s="43"/>
      <c r="N916" s="101">
        <v>0.625</v>
      </c>
      <c r="O916" s="240">
        <v>1.98</v>
      </c>
      <c r="P916" s="102">
        <v>1.59</v>
      </c>
      <c r="S916" s="5"/>
      <c r="T916" s="5"/>
      <c r="U916" s="5"/>
      <c r="V916" s="5"/>
      <c r="W916" s="5"/>
      <c r="X916" s="5"/>
      <c r="AV916" s="10"/>
      <c r="AW916" s="10"/>
      <c r="AX916" s="10"/>
      <c r="AY916" s="10"/>
      <c r="AZ916" s="10"/>
      <c r="BA916" s="10"/>
    </row>
    <row r="917" spans="1:53" s="3" customFormat="1" ht="11.25" customHeight="1" thickBot="1" x14ac:dyDescent="0.25">
      <c r="D917" s="43"/>
      <c r="E917" s="43"/>
      <c r="F917" s="43"/>
      <c r="G917" s="43"/>
      <c r="N917" s="101">
        <v>0.75</v>
      </c>
      <c r="O917" s="240">
        <v>2.85</v>
      </c>
      <c r="P917" s="102">
        <v>1.91</v>
      </c>
      <c r="S917" s="5"/>
      <c r="T917" s="5"/>
      <c r="U917" s="5"/>
      <c r="V917" s="5"/>
      <c r="W917" s="5"/>
      <c r="X917" s="5"/>
      <c r="AV917" s="10"/>
      <c r="AW917" s="10"/>
      <c r="AX917" s="10"/>
      <c r="AY917" s="10"/>
      <c r="AZ917" s="10"/>
      <c r="BA917" s="10"/>
    </row>
    <row r="918" spans="1:53" s="3" customFormat="1" ht="21.75" customHeight="1" x14ac:dyDescent="0.2">
      <c r="D918" s="315" t="s">
        <v>178</v>
      </c>
      <c r="E918" s="297"/>
      <c r="F918" s="297" t="s">
        <v>174</v>
      </c>
      <c r="G918" s="297"/>
      <c r="H918" s="297" t="s">
        <v>476</v>
      </c>
      <c r="I918" s="298"/>
      <c r="N918" s="101">
        <v>1</v>
      </c>
      <c r="O918" s="240">
        <v>5.07</v>
      </c>
      <c r="P918" s="102">
        <v>2.54</v>
      </c>
      <c r="Q918" s="5"/>
      <c r="R918" s="5"/>
      <c r="W918" s="5"/>
      <c r="X918" s="5"/>
      <c r="AV918" s="10"/>
      <c r="AW918" s="10"/>
      <c r="AX918" s="10"/>
      <c r="AY918" s="10"/>
      <c r="AZ918" s="10"/>
      <c r="BA918" s="10"/>
    </row>
    <row r="919" spans="1:53" ht="17.25" customHeight="1" x14ac:dyDescent="0.2">
      <c r="A919" s="10"/>
      <c r="B919" s="5"/>
      <c r="C919" s="5"/>
      <c r="D919" s="316"/>
      <c r="E919" s="299"/>
      <c r="F919" s="299"/>
      <c r="G919" s="299"/>
      <c r="H919" s="299"/>
      <c r="I919" s="300"/>
      <c r="K919" s="5"/>
      <c r="L919" s="3"/>
      <c r="M919" s="5"/>
      <c r="N919" s="101">
        <v>1.125</v>
      </c>
      <c r="O919" s="240">
        <v>6.45</v>
      </c>
      <c r="P919" s="108">
        <f>N919*2.54</f>
        <v>2.8574999999999999</v>
      </c>
      <c r="Q919" s="5"/>
      <c r="R919" s="5"/>
      <c r="W919" s="5"/>
      <c r="X919" s="5"/>
      <c r="Y919" s="5"/>
      <c r="Z919" s="5"/>
      <c r="AA919" s="5"/>
      <c r="AB919" s="5"/>
      <c r="AC919" s="5"/>
      <c r="AD919" s="5"/>
      <c r="AE919" s="5"/>
      <c r="AF919" s="5"/>
      <c r="AG919" s="5"/>
      <c r="AH919" s="5"/>
    </row>
    <row r="920" spans="1:53" s="49" customFormat="1" ht="21.75" customHeight="1" thickBot="1" x14ac:dyDescent="0.25">
      <c r="A920" s="12"/>
      <c r="D920" s="317">
        <f>J914</f>
        <v>0.44742063492063494</v>
      </c>
      <c r="E920" s="312"/>
      <c r="F920" s="312">
        <f>F765</f>
        <v>6.666666666666667</v>
      </c>
      <c r="G920" s="312"/>
      <c r="H920" s="312">
        <f>D920+F920</f>
        <v>7.1140873015873023</v>
      </c>
      <c r="I920" s="313"/>
      <c r="L920" s="3"/>
      <c r="M920" s="8"/>
      <c r="N920" s="101">
        <v>1.25</v>
      </c>
      <c r="O920" s="240">
        <v>8.19</v>
      </c>
      <c r="P920" s="108">
        <f>N920*2.54</f>
        <v>3.1749999999999998</v>
      </c>
      <c r="W920" s="111"/>
      <c r="X920" s="111"/>
      <c r="Y920" s="111"/>
      <c r="Z920" s="111"/>
      <c r="AA920" s="111"/>
      <c r="AB920" s="111"/>
      <c r="AC920" s="111"/>
      <c r="AD920" s="111"/>
      <c r="AE920" s="111"/>
      <c r="AF920" s="111"/>
      <c r="AG920" s="111"/>
      <c r="AH920" s="111"/>
    </row>
    <row r="921" spans="1:53" s="43" customFormat="1" ht="15" customHeight="1" x14ac:dyDescent="0.2">
      <c r="L921" s="3"/>
      <c r="N921" s="101">
        <v>1.375</v>
      </c>
      <c r="O921" s="240">
        <v>9.58</v>
      </c>
      <c r="P921" s="102">
        <v>3.49</v>
      </c>
      <c r="U921" s="111"/>
      <c r="AV921" s="49"/>
      <c r="AW921" s="49"/>
      <c r="AX921" s="49"/>
      <c r="AY921" s="49"/>
      <c r="AZ921" s="49"/>
      <c r="BA921" s="49"/>
    </row>
    <row r="922" spans="1:53" s="43" customFormat="1" ht="17.25" customHeight="1" x14ac:dyDescent="0.2">
      <c r="A922" s="13" t="s">
        <v>172</v>
      </c>
      <c r="O922" s="87"/>
      <c r="U922" s="111"/>
      <c r="AV922" s="49"/>
      <c r="AW922" s="49"/>
      <c r="AX922" s="49"/>
      <c r="AY922" s="49"/>
      <c r="AZ922" s="49"/>
      <c r="BA922" s="49"/>
    </row>
    <row r="923" spans="1:53" s="43" customFormat="1" ht="17.25" customHeight="1" x14ac:dyDescent="0.2">
      <c r="B923" s="42"/>
      <c r="C923" s="42"/>
      <c r="D923" s="42"/>
      <c r="E923" s="42"/>
      <c r="F923" s="42"/>
      <c r="G923" s="42"/>
      <c r="H923" s="42"/>
      <c r="I923" s="42"/>
      <c r="J923" s="42"/>
      <c r="O923" s="87"/>
      <c r="U923" s="111"/>
      <c r="AV923" s="49"/>
      <c r="AW923" s="49"/>
      <c r="AX923" s="49"/>
      <c r="AY923" s="49"/>
      <c r="AZ923" s="49"/>
      <c r="BA923" s="49"/>
    </row>
    <row r="924" spans="1:53" s="3" customFormat="1" ht="17.25" customHeight="1" thickBot="1" x14ac:dyDescent="0.25">
      <c r="B924" s="112" t="s">
        <v>180</v>
      </c>
      <c r="O924" s="232"/>
      <c r="U924" s="5"/>
      <c r="AV924" s="10"/>
      <c r="AW924" s="10"/>
      <c r="AX924" s="10"/>
      <c r="AY924" s="10"/>
      <c r="AZ924" s="10"/>
      <c r="BA924" s="10"/>
    </row>
    <row r="925" spans="1:53" ht="17.25" customHeight="1" x14ac:dyDescent="0.2">
      <c r="A925" s="6"/>
      <c r="B925" s="10"/>
      <c r="C925" s="10"/>
      <c r="D925" s="294" t="s">
        <v>505</v>
      </c>
      <c r="E925" s="288"/>
      <c r="F925" s="288"/>
      <c r="G925" s="288"/>
      <c r="H925" s="288"/>
      <c r="I925" s="288"/>
      <c r="J925" s="289"/>
      <c r="K925" s="43"/>
      <c r="L925" s="3"/>
      <c r="M925" s="5"/>
      <c r="U925" s="5"/>
      <c r="V925" s="5"/>
      <c r="W925" s="5"/>
      <c r="X925" s="5"/>
      <c r="Y925" s="5"/>
      <c r="Z925" s="5"/>
      <c r="AA925" s="5"/>
      <c r="AB925" s="5"/>
      <c r="AC925" s="5"/>
      <c r="AD925" s="5"/>
      <c r="AE925" s="5"/>
      <c r="AF925" s="5"/>
      <c r="AG925" s="5"/>
      <c r="AH925" s="5"/>
    </row>
    <row r="926" spans="1:53" s="49" customFormat="1" ht="17.25" customHeight="1" thickBot="1" x14ac:dyDescent="0.25">
      <c r="A926" s="12"/>
      <c r="D926" s="202">
        <f>ROUNDUP(H920/(VLOOKUP(F926,$N$889:$P$896,2)),0)</f>
        <v>6</v>
      </c>
      <c r="E926" s="203" t="s">
        <v>175</v>
      </c>
      <c r="F926" s="113">
        <v>0.5</v>
      </c>
      <c r="G926" s="203" t="s">
        <v>176</v>
      </c>
      <c r="H926" s="203" t="s">
        <v>177</v>
      </c>
      <c r="I926" s="204">
        <f>1/D926</f>
        <v>0.16666666666666666</v>
      </c>
      <c r="J926" s="205" t="s">
        <v>0</v>
      </c>
      <c r="K926" s="43"/>
      <c r="O926" s="242"/>
      <c r="U926" s="111"/>
      <c r="V926" s="111"/>
      <c r="W926" s="111"/>
      <c r="X926" s="111"/>
      <c r="Y926" s="111"/>
      <c r="Z926" s="111"/>
      <c r="AA926" s="111"/>
      <c r="AB926" s="111"/>
      <c r="AC926" s="111"/>
      <c r="AD926" s="111"/>
      <c r="AE926" s="111"/>
      <c r="AF926" s="111"/>
      <c r="AG926" s="111"/>
      <c r="AH926" s="111"/>
    </row>
    <row r="927" spans="1:53" s="49" customFormat="1" ht="17.25" customHeight="1" x14ac:dyDescent="0.2">
      <c r="A927" s="12"/>
      <c r="D927" s="246"/>
      <c r="E927" s="246"/>
      <c r="F927" s="247"/>
      <c r="G927" s="246"/>
      <c r="H927" s="246"/>
      <c r="I927" s="248"/>
      <c r="J927" s="246"/>
      <c r="K927" s="43"/>
      <c r="O927" s="242"/>
      <c r="U927" s="111"/>
      <c r="V927" s="111"/>
      <c r="W927" s="111"/>
      <c r="X927" s="111"/>
      <c r="Y927" s="111"/>
      <c r="Z927" s="111"/>
      <c r="AA927" s="111"/>
      <c r="AB927" s="111"/>
      <c r="AC927" s="111"/>
      <c r="AD927" s="111"/>
      <c r="AE927" s="111"/>
      <c r="AF927" s="111"/>
      <c r="AG927" s="111"/>
      <c r="AH927" s="111"/>
    </row>
    <row r="928" spans="1:53" ht="17.25" customHeight="1" x14ac:dyDescent="0.2">
      <c r="A928" s="13" t="s">
        <v>475</v>
      </c>
      <c r="L928" s="3"/>
    </row>
    <row r="929" spans="1:25" s="3" customFormat="1" ht="17.25" customHeight="1" x14ac:dyDescent="0.2">
      <c r="A929" s="3" t="s">
        <v>205</v>
      </c>
      <c r="O929" s="232"/>
    </row>
    <row r="930" spans="1:25" s="9" customFormat="1" ht="17.25" customHeight="1" x14ac:dyDescent="0.2">
      <c r="A930" s="3" t="s">
        <v>206</v>
      </c>
      <c r="O930" s="179"/>
    </row>
    <row r="931" spans="1:25" s="3" customFormat="1" ht="17.25" customHeight="1" x14ac:dyDescent="0.2">
      <c r="A931" s="3" t="s">
        <v>201</v>
      </c>
      <c r="O931" s="232"/>
    </row>
    <row r="932" spans="1:25" s="3" customFormat="1" ht="17.25" customHeight="1" thickBot="1" x14ac:dyDescent="0.25">
      <c r="O932" s="232"/>
    </row>
    <row r="933" spans="1:25" s="3" customFormat="1" ht="17.25" customHeight="1" x14ac:dyDescent="0.2">
      <c r="C933" s="56"/>
      <c r="D933" s="57"/>
      <c r="E933" s="57"/>
      <c r="F933" s="57"/>
      <c r="G933" s="57"/>
      <c r="H933" s="58"/>
      <c r="O933" s="232"/>
    </row>
    <row r="934" spans="1:25" s="3" customFormat="1" ht="17.25" customHeight="1" x14ac:dyDescent="0.2">
      <c r="C934" s="35"/>
      <c r="D934" s="107">
        <v>4</v>
      </c>
      <c r="E934" s="3" t="s">
        <v>202</v>
      </c>
      <c r="F934" s="107"/>
      <c r="G934" s="107"/>
      <c r="H934" s="36"/>
      <c r="L934" s="107"/>
      <c r="O934" s="232"/>
    </row>
    <row r="935" spans="1:25" s="3" customFormat="1" ht="17.25" customHeight="1" x14ac:dyDescent="0.2">
      <c r="C935" s="114" t="s">
        <v>207</v>
      </c>
      <c r="D935" s="107">
        <v>5</v>
      </c>
      <c r="E935" s="3" t="s">
        <v>203</v>
      </c>
      <c r="F935" s="107"/>
      <c r="G935" s="107"/>
      <c r="H935" s="36"/>
      <c r="O935" s="232"/>
    </row>
    <row r="936" spans="1:25" s="3" customFormat="1" ht="17.25" customHeight="1" x14ac:dyDescent="0.2">
      <c r="C936" s="35"/>
      <c r="D936" s="107">
        <v>6</v>
      </c>
      <c r="E936" s="3" t="s">
        <v>204</v>
      </c>
      <c r="F936" s="107"/>
      <c r="G936" s="107"/>
      <c r="H936" s="36"/>
      <c r="L936" s="107"/>
      <c r="O936" s="232"/>
    </row>
    <row r="937" spans="1:25" s="3" customFormat="1" ht="17.25" customHeight="1" thickBot="1" x14ac:dyDescent="0.25">
      <c r="C937" s="37"/>
      <c r="D937" s="59"/>
      <c r="E937" s="59"/>
      <c r="F937" s="59"/>
      <c r="G937" s="59"/>
      <c r="H937" s="38"/>
      <c r="O937" s="232"/>
    </row>
    <row r="938" spans="1:25" s="3" customFormat="1" ht="17.25" customHeight="1" thickBot="1" x14ac:dyDescent="0.25">
      <c r="O938" s="232"/>
    </row>
    <row r="939" spans="1:25" s="3" customFormat="1" ht="17.25" customHeight="1" thickBot="1" x14ac:dyDescent="0.25">
      <c r="A939" s="13" t="s">
        <v>213</v>
      </c>
      <c r="C939" s="318" t="s">
        <v>202</v>
      </c>
      <c r="D939" s="318"/>
      <c r="E939" s="318"/>
      <c r="F939" s="318"/>
      <c r="G939" s="318"/>
      <c r="H939" s="318"/>
      <c r="I939" s="84" t="s">
        <v>207</v>
      </c>
      <c r="J939" s="109">
        <f>IF(C939=E934,D934,IF(C939=E935,D935,D936))</f>
        <v>4</v>
      </c>
      <c r="K939" s="110" t="s">
        <v>1</v>
      </c>
      <c r="L939" s="115">
        <f>J939*2.5</f>
        <v>10</v>
      </c>
      <c r="O939" s="232"/>
    </row>
    <row r="940" spans="1:25" s="3" customFormat="1" ht="17.25" customHeight="1" x14ac:dyDescent="0.2">
      <c r="O940" s="232"/>
      <c r="U940" s="104"/>
      <c r="V940" s="43"/>
      <c r="X940" s="90"/>
      <c r="Y940" s="90"/>
    </row>
    <row r="941" spans="1:25" s="3" customFormat="1" ht="17.25" customHeight="1" x14ac:dyDescent="0.2">
      <c r="N941" s="225" t="s">
        <v>578</v>
      </c>
      <c r="O941" s="232" t="e">
        <f>#REF!/O525</f>
        <v>#REF!</v>
      </c>
      <c r="U941" s="104"/>
      <c r="V941" s="43"/>
      <c r="X941" s="90"/>
      <c r="Y941" s="90"/>
    </row>
    <row r="942" spans="1:25" s="3" customFormat="1" ht="17.25" customHeight="1" x14ac:dyDescent="0.2">
      <c r="U942" s="104"/>
      <c r="V942" s="43"/>
      <c r="X942" s="90"/>
      <c r="Y942" s="90"/>
    </row>
    <row r="943" spans="1:25" s="3" customFormat="1" ht="17.25" customHeight="1" x14ac:dyDescent="0.2">
      <c r="O943" s="232"/>
      <c r="U943" s="104"/>
      <c r="V943" s="43"/>
      <c r="X943" s="90"/>
      <c r="Y943" s="90"/>
    </row>
    <row r="944" spans="1:25" s="3" customFormat="1" ht="17.25" customHeight="1" x14ac:dyDescent="0.2">
      <c r="U944" s="104"/>
      <c r="V944" s="43"/>
      <c r="X944" s="90"/>
      <c r="Y944" s="90"/>
    </row>
    <row r="945" spans="14:25" s="3" customFormat="1" ht="17.25" customHeight="1" x14ac:dyDescent="0.2">
      <c r="N945" s="225" t="s">
        <v>495</v>
      </c>
      <c r="O945" s="232">
        <f>(0.25*2.6+0.25*5.5)*B72</f>
        <v>0.50624999999999998</v>
      </c>
      <c r="U945" s="104"/>
      <c r="V945" s="43"/>
      <c r="X945" s="90"/>
      <c r="Y945" s="90"/>
    </row>
    <row r="946" spans="14:25" s="3" customFormat="1" ht="17.25" customHeight="1" x14ac:dyDescent="0.2">
      <c r="N946" s="225" t="s">
        <v>581</v>
      </c>
      <c r="O946" s="232">
        <f>O945/O525</f>
        <v>2.4545454545454544E-2</v>
      </c>
      <c r="U946" s="104"/>
      <c r="V946" s="43"/>
      <c r="X946" s="90"/>
      <c r="Y946" s="90"/>
    </row>
    <row r="947" spans="14:25" s="3" customFormat="1" ht="17.25" customHeight="1" x14ac:dyDescent="0.2">
      <c r="O947" s="232"/>
      <c r="U947" s="104"/>
      <c r="V947" s="43"/>
      <c r="X947" s="90"/>
      <c r="Y947" s="90"/>
    </row>
    <row r="948" spans="14:25" s="3" customFormat="1" ht="17.25" customHeight="1" x14ac:dyDescent="0.2">
      <c r="N948" s="225" t="s">
        <v>580</v>
      </c>
      <c r="O948" s="232">
        <f>H483</f>
        <v>0.54687454545454539</v>
      </c>
      <c r="U948" s="104"/>
      <c r="V948" s="43"/>
      <c r="X948" s="90"/>
      <c r="Y948" s="90"/>
    </row>
    <row r="949" spans="14:25" s="3" customFormat="1" ht="17.25" customHeight="1" x14ac:dyDescent="0.2">
      <c r="O949" s="232"/>
      <c r="U949" s="104"/>
      <c r="V949" s="43"/>
      <c r="X949" s="90"/>
      <c r="Y949" s="90"/>
    </row>
    <row r="950" spans="14:25" s="3" customFormat="1" ht="17.25" customHeight="1" x14ac:dyDescent="0.2">
      <c r="O950" s="232"/>
      <c r="U950" s="104"/>
      <c r="V950" s="43"/>
      <c r="X950" s="90"/>
      <c r="Y950" s="90"/>
    </row>
    <row r="951" spans="14:25" s="3" customFormat="1" ht="17.25" customHeight="1" x14ac:dyDescent="0.2">
      <c r="N951" s="225" t="s">
        <v>577</v>
      </c>
      <c r="O951" s="232">
        <f>H526</f>
        <v>0.33999999999999997</v>
      </c>
      <c r="U951" s="104"/>
      <c r="V951" s="43"/>
      <c r="X951" s="90"/>
      <c r="Y951" s="90"/>
    </row>
    <row r="952" spans="14:25" s="3" customFormat="1" ht="17.25" customHeight="1" x14ac:dyDescent="0.2">
      <c r="O952" s="232"/>
      <c r="U952" s="104"/>
      <c r="V952" s="43"/>
      <c r="X952" s="90"/>
      <c r="Y952" s="90"/>
    </row>
    <row r="953" spans="14:25" s="3" customFormat="1" ht="17.25" customHeight="1" x14ac:dyDescent="0.2">
      <c r="O953" s="232"/>
      <c r="U953" s="104"/>
      <c r="V953" s="43"/>
      <c r="X953" s="90"/>
      <c r="Y953" s="90"/>
    </row>
    <row r="954" spans="14:25" s="3" customFormat="1" ht="17.25" customHeight="1" x14ac:dyDescent="0.2">
      <c r="O954" s="232"/>
      <c r="U954" s="104"/>
      <c r="V954" s="43"/>
      <c r="X954" s="90"/>
      <c r="Y954" s="90"/>
    </row>
    <row r="955" spans="14:25" s="3" customFormat="1" ht="17.25" customHeight="1" x14ac:dyDescent="0.2">
      <c r="O955" s="232"/>
      <c r="U955" s="104"/>
      <c r="V955" s="43"/>
      <c r="X955" s="90"/>
      <c r="Y955" s="90"/>
    </row>
    <row r="956" spans="14:25" s="3" customFormat="1" ht="17.25" customHeight="1" x14ac:dyDescent="0.2">
      <c r="O956" s="232"/>
      <c r="U956" s="104"/>
      <c r="V956" s="43"/>
      <c r="X956" s="90"/>
      <c r="Y956" s="90"/>
    </row>
    <row r="957" spans="14:25" s="3" customFormat="1" ht="17.25" customHeight="1" x14ac:dyDescent="0.2">
      <c r="O957" s="232"/>
      <c r="U957" s="104"/>
      <c r="V957" s="43"/>
      <c r="X957" s="90"/>
      <c r="Y957" s="90"/>
    </row>
    <row r="958" spans="14:25" s="3" customFormat="1" ht="17.25" customHeight="1" x14ac:dyDescent="0.2">
      <c r="O958" s="232"/>
      <c r="U958" s="104"/>
      <c r="V958" s="43"/>
      <c r="X958" s="90"/>
      <c r="Y958" s="90"/>
    </row>
    <row r="959" spans="14:25" s="3" customFormat="1" ht="17.25" customHeight="1" x14ac:dyDescent="0.2">
      <c r="O959" s="232"/>
      <c r="U959" s="104"/>
      <c r="V959" s="43"/>
      <c r="X959" s="90"/>
      <c r="Y959" s="90"/>
    </row>
    <row r="960" spans="14:25" s="3" customFormat="1" ht="17.25" customHeight="1" x14ac:dyDescent="0.2">
      <c r="O960" s="232"/>
      <c r="U960" s="104"/>
      <c r="V960" s="43"/>
      <c r="X960" s="90"/>
      <c r="Y960" s="90"/>
    </row>
    <row r="961" spans="1:25" s="3" customFormat="1" ht="17.25" customHeight="1" x14ac:dyDescent="0.2">
      <c r="O961" s="232"/>
      <c r="U961" s="104"/>
      <c r="V961" s="43"/>
      <c r="X961" s="90"/>
      <c r="Y961" s="90"/>
    </row>
    <row r="962" spans="1:25" s="3" customFormat="1" ht="17.25" customHeight="1" x14ac:dyDescent="0.2">
      <c r="A962" s="280" t="s">
        <v>579</v>
      </c>
      <c r="B962" s="280"/>
      <c r="C962" s="280"/>
      <c r="D962" s="280"/>
      <c r="E962" s="280"/>
      <c r="H962" s="280" t="s">
        <v>495</v>
      </c>
      <c r="I962" s="280"/>
      <c r="J962" s="280"/>
      <c r="K962" s="280"/>
      <c r="O962" s="232"/>
      <c r="U962" s="104"/>
      <c r="V962" s="43"/>
      <c r="X962" s="90"/>
      <c r="Y962" s="90"/>
    </row>
    <row r="963" spans="1:25" s="3" customFormat="1" ht="17.25" customHeight="1" x14ac:dyDescent="0.2">
      <c r="A963" s="223"/>
      <c r="B963" s="223"/>
      <c r="C963" s="223"/>
      <c r="D963" s="223"/>
      <c r="E963" s="223"/>
      <c r="H963" s="223"/>
      <c r="I963" s="223"/>
      <c r="J963" s="223"/>
      <c r="K963" s="223"/>
      <c r="O963" s="232"/>
      <c r="U963" s="104"/>
      <c r="V963" s="43"/>
      <c r="X963" s="90"/>
      <c r="Y963" s="90"/>
    </row>
    <row r="964" spans="1:25" s="3" customFormat="1" ht="17.25" customHeight="1" x14ac:dyDescent="0.2">
      <c r="A964" s="223"/>
      <c r="B964" s="223"/>
      <c r="C964" s="223"/>
      <c r="D964" s="223"/>
      <c r="E964" s="223"/>
      <c r="H964" s="223"/>
      <c r="I964" s="223"/>
      <c r="J964" s="223"/>
      <c r="K964" s="223"/>
      <c r="O964" s="232"/>
      <c r="U964" s="104"/>
      <c r="V964" s="43"/>
      <c r="X964" s="90"/>
      <c r="Y964" s="90"/>
    </row>
    <row r="965" spans="1:25" s="3" customFormat="1" ht="17.25" customHeight="1" x14ac:dyDescent="0.2">
      <c r="A965" s="223"/>
      <c r="B965" s="223"/>
      <c r="C965" s="223"/>
      <c r="D965" s="223"/>
      <c r="E965" s="223"/>
      <c r="H965" s="223"/>
      <c r="I965" s="223"/>
      <c r="J965" s="223"/>
      <c r="K965" s="223"/>
      <c r="O965" s="232"/>
      <c r="U965" s="104"/>
      <c r="V965" s="43"/>
      <c r="X965" s="90"/>
      <c r="Y965" s="90"/>
    </row>
    <row r="966" spans="1:25" s="3" customFormat="1" ht="17.25" customHeight="1" x14ac:dyDescent="0.2">
      <c r="A966" s="223"/>
      <c r="B966" s="223"/>
      <c r="C966" s="223"/>
      <c r="D966" s="223"/>
      <c r="E966" s="223"/>
      <c r="H966" s="223"/>
      <c r="I966" s="223"/>
      <c r="J966" s="223"/>
      <c r="K966" s="223"/>
      <c r="O966" s="232"/>
      <c r="U966" s="104"/>
      <c r="V966" s="43"/>
      <c r="X966" s="90"/>
      <c r="Y966" s="90"/>
    </row>
    <row r="967" spans="1:25" s="3" customFormat="1" ht="17.25" customHeight="1" x14ac:dyDescent="0.2">
      <c r="O967" s="232"/>
      <c r="U967" s="104"/>
      <c r="V967" s="43"/>
      <c r="X967" s="90"/>
      <c r="Y967" s="90"/>
    </row>
    <row r="968" spans="1:25" s="3" customFormat="1" ht="17.25" customHeight="1" x14ac:dyDescent="0.2">
      <c r="O968" s="232"/>
      <c r="U968" s="104"/>
      <c r="V968" s="43"/>
      <c r="X968" s="90"/>
      <c r="Y968" s="90"/>
    </row>
    <row r="969" spans="1:25" s="3" customFormat="1" ht="17.25" customHeight="1" x14ac:dyDescent="0.2">
      <c r="O969" s="232"/>
      <c r="U969" s="104"/>
      <c r="V969" s="43"/>
      <c r="X969" s="90"/>
      <c r="Y969" s="90"/>
    </row>
    <row r="970" spans="1:25" s="3" customFormat="1" ht="17.25" customHeight="1" x14ac:dyDescent="0.2">
      <c r="O970" s="232"/>
      <c r="U970" s="104"/>
      <c r="V970" s="43"/>
      <c r="X970" s="90"/>
      <c r="Y970" s="90"/>
    </row>
    <row r="971" spans="1:25" s="3" customFormat="1" ht="17.25" customHeight="1" x14ac:dyDescent="0.2">
      <c r="O971" s="232"/>
      <c r="U971" s="104"/>
      <c r="V971" s="43"/>
      <c r="X971" s="90"/>
      <c r="Y971" s="90"/>
    </row>
    <row r="972" spans="1:25" s="3" customFormat="1" ht="17.25" customHeight="1" x14ac:dyDescent="0.2">
      <c r="O972" s="232"/>
      <c r="U972" s="104"/>
      <c r="V972" s="43"/>
      <c r="X972" s="90"/>
      <c r="Y972" s="90"/>
    </row>
    <row r="973" spans="1:25" s="3" customFormat="1" ht="17.25" customHeight="1" x14ac:dyDescent="0.2">
      <c r="O973" s="232"/>
      <c r="U973" s="104"/>
      <c r="V973" s="43"/>
      <c r="X973" s="90"/>
      <c r="Y973" s="90"/>
    </row>
    <row r="974" spans="1:25" s="3" customFormat="1" ht="17.25" customHeight="1" x14ac:dyDescent="0.2">
      <c r="O974" s="232"/>
      <c r="U974" s="104"/>
      <c r="V974" s="43"/>
      <c r="X974" s="90"/>
      <c r="Y974" s="90"/>
    </row>
    <row r="975" spans="1:25" s="3" customFormat="1" ht="17.25" customHeight="1" x14ac:dyDescent="0.2">
      <c r="O975" s="232"/>
      <c r="U975" s="104"/>
      <c r="V975" s="43"/>
      <c r="X975" s="90"/>
      <c r="Y975" s="90"/>
    </row>
    <row r="976" spans="1:25" s="3" customFormat="1" ht="17.25" customHeight="1" x14ac:dyDescent="0.2">
      <c r="O976" s="232"/>
      <c r="U976" s="104"/>
      <c r="V976" s="43"/>
      <c r="X976" s="90"/>
      <c r="Y976" s="90"/>
    </row>
    <row r="977" spans="1:34" s="3" customFormat="1" ht="17.25" customHeight="1" x14ac:dyDescent="0.2">
      <c r="O977" s="232"/>
      <c r="U977" s="104"/>
      <c r="V977" s="43"/>
      <c r="X977" s="90"/>
      <c r="Y977" s="90"/>
    </row>
    <row r="978" spans="1:34" s="3" customFormat="1" ht="17.25" customHeight="1" x14ac:dyDescent="0.2">
      <c r="O978" s="232"/>
      <c r="U978" s="104"/>
      <c r="V978" s="43"/>
      <c r="X978" s="90"/>
      <c r="Y978" s="90"/>
    </row>
    <row r="979" spans="1:34" s="3" customFormat="1" ht="17.25" customHeight="1" x14ac:dyDescent="0.2">
      <c r="O979" s="232"/>
      <c r="U979" s="104"/>
      <c r="V979" s="43"/>
      <c r="X979" s="90"/>
      <c r="Y979" s="90"/>
    </row>
    <row r="980" spans="1:34" s="3" customFormat="1" ht="17.25" customHeight="1" x14ac:dyDescent="0.2">
      <c r="O980" s="232"/>
      <c r="U980" s="104"/>
      <c r="V980" s="43"/>
      <c r="X980" s="90"/>
      <c r="Y980" s="90"/>
    </row>
    <row r="981" spans="1:34" s="3" customFormat="1" ht="17.25" customHeight="1" x14ac:dyDescent="0.2">
      <c r="O981" s="232"/>
      <c r="U981" s="104"/>
      <c r="V981" s="43"/>
      <c r="X981" s="90"/>
      <c r="Y981" s="90"/>
    </row>
    <row r="982" spans="1:34" s="3" customFormat="1" ht="17.25" customHeight="1" x14ac:dyDescent="0.2">
      <c r="O982" s="232"/>
      <c r="U982" s="104"/>
      <c r="V982" s="43"/>
      <c r="X982" s="90"/>
      <c r="Y982" s="90"/>
    </row>
    <row r="983" spans="1:34" s="3" customFormat="1" ht="17.25" customHeight="1" x14ac:dyDescent="0.2">
      <c r="O983" s="232"/>
      <c r="U983" s="104"/>
      <c r="V983" s="43"/>
      <c r="X983" s="90"/>
      <c r="Y983" s="90"/>
    </row>
    <row r="984" spans="1:34" s="3" customFormat="1" ht="17.25" customHeight="1" x14ac:dyDescent="0.2">
      <c r="A984" s="280" t="s">
        <v>496</v>
      </c>
      <c r="B984" s="280"/>
      <c r="C984" s="280"/>
      <c r="D984" s="280"/>
      <c r="E984" s="280"/>
      <c r="H984" s="280" t="s">
        <v>521</v>
      </c>
      <c r="I984" s="280"/>
      <c r="J984" s="280"/>
      <c r="K984" s="280"/>
      <c r="O984" s="232"/>
      <c r="U984" s="104"/>
      <c r="V984" s="43"/>
      <c r="X984" s="90"/>
      <c r="Y984" s="90"/>
    </row>
    <row r="985" spans="1:34" s="3" customFormat="1" ht="17.25" customHeight="1" x14ac:dyDescent="0.2">
      <c r="O985" s="232"/>
      <c r="U985" s="104"/>
      <c r="V985" s="43"/>
      <c r="X985" s="90"/>
      <c r="Y985" s="90"/>
    </row>
    <row r="986" spans="1:34" ht="17.25" customHeight="1" x14ac:dyDescent="0.2">
      <c r="A986" s="117" t="s">
        <v>516</v>
      </c>
      <c r="B986" s="10"/>
      <c r="C986" s="10"/>
      <c r="D986" s="10"/>
      <c r="E986" s="10"/>
      <c r="F986" s="10"/>
      <c r="G986" s="10"/>
      <c r="H986" s="10"/>
      <c r="I986" s="10"/>
      <c r="J986" s="10"/>
      <c r="K986" s="10"/>
      <c r="L986" s="10"/>
      <c r="M986" s="10"/>
      <c r="Q986" s="5"/>
      <c r="R986" s="5"/>
      <c r="S986" s="5"/>
      <c r="T986" s="5"/>
      <c r="U986" s="5"/>
      <c r="V986" s="5"/>
      <c r="W986" s="5"/>
      <c r="X986" s="5"/>
      <c r="Y986" s="5"/>
      <c r="Z986" s="5"/>
      <c r="AA986" s="5"/>
      <c r="AB986" s="5"/>
      <c r="AC986" s="5"/>
      <c r="AD986" s="5"/>
      <c r="AE986" s="5"/>
      <c r="AF986" s="5"/>
      <c r="AG986" s="5"/>
      <c r="AH986" s="5"/>
    </row>
    <row r="987" spans="1:34" x14ac:dyDescent="0.2">
      <c r="A987" s="9" t="s">
        <v>483</v>
      </c>
    </row>
    <row r="988" spans="1:34" x14ac:dyDescent="0.2">
      <c r="C988" s="10"/>
      <c r="D988" s="10"/>
      <c r="E988" s="10"/>
      <c r="F988" s="10"/>
      <c r="G988" s="10"/>
      <c r="H988" s="10"/>
      <c r="I988" s="10"/>
      <c r="J988" s="10"/>
    </row>
    <row r="989" spans="1:34" x14ac:dyDescent="0.2">
      <c r="C989" s="10"/>
      <c r="D989" s="10"/>
      <c r="E989" s="10"/>
      <c r="F989" s="10"/>
      <c r="G989" s="10"/>
      <c r="H989" s="10"/>
      <c r="I989" s="10"/>
      <c r="J989" s="10"/>
    </row>
    <row r="1000" spans="1:12" x14ac:dyDescent="0.2">
      <c r="B1000" s="184" t="s">
        <v>484</v>
      </c>
    </row>
    <row r="1001" spans="1:12" x14ac:dyDescent="0.2">
      <c r="A1001" s="22"/>
    </row>
    <row r="1002" spans="1:12" x14ac:dyDescent="0.2">
      <c r="A1002" s="9" t="s">
        <v>485</v>
      </c>
      <c r="D1002" s="185">
        <f>I71</f>
        <v>0.94</v>
      </c>
      <c r="E1002" s="9" t="s">
        <v>486</v>
      </c>
      <c r="H1002" s="9" t="str">
        <f>I67</f>
        <v>Limo arenoso (ML)</v>
      </c>
    </row>
    <row r="1003" spans="1:12" x14ac:dyDescent="0.2">
      <c r="B1003" s="9" t="s">
        <v>487</v>
      </c>
      <c r="C1003" s="28" t="s">
        <v>488</v>
      </c>
      <c r="D1003" s="189">
        <v>2.37</v>
      </c>
      <c r="E1003" s="9" t="s">
        <v>515</v>
      </c>
      <c r="F1003" s="186" t="s">
        <v>492</v>
      </c>
      <c r="G1003" s="39"/>
      <c r="J1003" s="27"/>
      <c r="L1003" s="3"/>
    </row>
    <row r="1004" spans="1:12" x14ac:dyDescent="0.2">
      <c r="B1004" s="9" t="s">
        <v>489</v>
      </c>
      <c r="D1004" s="190">
        <v>0.23682</v>
      </c>
      <c r="E1004" s="9" t="s">
        <v>490</v>
      </c>
      <c r="G1004" s="9" t="s">
        <v>491</v>
      </c>
      <c r="J1004" s="185">
        <f>D1004*D1003</f>
        <v>0.56126340000000008</v>
      </c>
    </row>
    <row r="1005" spans="1:12" x14ac:dyDescent="0.2">
      <c r="B1005" s="9" t="s">
        <v>493</v>
      </c>
      <c r="C1005" s="185">
        <f>J1004</f>
        <v>0.56126340000000008</v>
      </c>
      <c r="D1005" s="73" t="str">
        <f>IF(C1005&lt;E1005,"&lt;","≥")</f>
        <v>&lt;</v>
      </c>
      <c r="E1005" s="286">
        <f>D1002</f>
        <v>0.94</v>
      </c>
      <c r="F1005" s="286"/>
      <c r="G1005" s="27" t="str">
        <f>IF(C1005&lt;E1005,": OK!!!",": INCREMENTAR DIMENSIONES DE LA CIMENTACION")</f>
        <v>: OK!!!</v>
      </c>
    </row>
    <row r="1006" spans="1:12" x14ac:dyDescent="0.2">
      <c r="C1006" s="185"/>
      <c r="D1006" s="73"/>
      <c r="E1006" s="224"/>
      <c r="F1006" s="224"/>
      <c r="G1006" s="27"/>
    </row>
    <row r="1007" spans="1:12" x14ac:dyDescent="0.2">
      <c r="C1007" s="185"/>
      <c r="D1007" s="73"/>
      <c r="E1007" s="224"/>
      <c r="F1007" s="224"/>
      <c r="G1007" s="27"/>
    </row>
    <row r="1009" spans="21:23" x14ac:dyDescent="0.2">
      <c r="U1009" s="10">
        <v>1.05</v>
      </c>
      <c r="V1009" s="10">
        <v>2.29</v>
      </c>
    </row>
    <row r="1010" spans="21:23" x14ac:dyDescent="0.2">
      <c r="U1010" s="10">
        <v>1.099</v>
      </c>
      <c r="V1010" s="142" t="s">
        <v>519</v>
      </c>
    </row>
    <row r="1011" spans="21:23" x14ac:dyDescent="0.2">
      <c r="U1011" s="10">
        <v>1.1000000000000001</v>
      </c>
      <c r="V1011" s="10">
        <v>2.38</v>
      </c>
    </row>
    <row r="1017" spans="21:23" x14ac:dyDescent="0.2">
      <c r="U1017" s="10">
        <f>(U1011-U1009)/(V1011-V1009)</f>
        <v>0.55555555555555691</v>
      </c>
      <c r="W1017" s="10">
        <f>U1011-U1010</f>
        <v>1.0000000000001119E-3</v>
      </c>
    </row>
    <row r="1018" spans="21:23" x14ac:dyDescent="0.2">
      <c r="W1018" s="10">
        <f>W1017/U1017</f>
        <v>1.8000000000001971E-3</v>
      </c>
    </row>
    <row r="1020" spans="21:23" x14ac:dyDescent="0.2">
      <c r="U1020" s="10">
        <f>V1011-W1018</f>
        <v>2.3781999999999996</v>
      </c>
    </row>
    <row r="1035" spans="1:25" s="3" customFormat="1" ht="17.25" customHeight="1" x14ac:dyDescent="0.2">
      <c r="A1035" s="117" t="s">
        <v>517</v>
      </c>
      <c r="O1035" s="232"/>
      <c r="U1035" s="104"/>
      <c r="V1035" s="43"/>
      <c r="X1035" s="90"/>
      <c r="Y1035" s="90"/>
    </row>
    <row r="1036" spans="1:25" s="9" customFormat="1" ht="17.25" customHeight="1" x14ac:dyDescent="0.2">
      <c r="A1036" s="9" t="s">
        <v>4</v>
      </c>
      <c r="I1036" s="28"/>
      <c r="O1036" s="179"/>
      <c r="P1036" s="40"/>
      <c r="Q1036" s="40"/>
      <c r="R1036" s="40"/>
      <c r="S1036" s="40"/>
      <c r="T1036" s="40"/>
    </row>
    <row r="1037" spans="1:25" s="9" customFormat="1" ht="17.25" customHeight="1" x14ac:dyDescent="0.2">
      <c r="B1037" s="28" t="s">
        <v>126</v>
      </c>
      <c r="C1037" s="251">
        <v>0.95099999999999996</v>
      </c>
      <c r="D1037" s="9" t="s">
        <v>498</v>
      </c>
      <c r="I1037" s="28"/>
      <c r="O1037" s="179"/>
      <c r="P1037" s="40"/>
      <c r="Q1037" s="40"/>
      <c r="R1037" s="40"/>
      <c r="S1037" s="40"/>
      <c r="T1037" s="40"/>
    </row>
    <row r="1038" spans="1:25" s="9" customFormat="1" ht="17.25" customHeight="1" x14ac:dyDescent="0.2">
      <c r="B1038" s="28" t="s">
        <v>208</v>
      </c>
      <c r="C1038" s="23">
        <v>35</v>
      </c>
      <c r="D1038" s="9" t="s">
        <v>593</v>
      </c>
      <c r="I1038" s="28"/>
      <c r="O1038" s="179"/>
      <c r="P1038" s="40"/>
      <c r="Q1038" s="40"/>
      <c r="R1038" s="40"/>
      <c r="S1038" s="40"/>
      <c r="T1038" s="40"/>
    </row>
    <row r="1039" spans="1:25" s="9" customFormat="1" ht="17.25" customHeight="1" x14ac:dyDescent="0.2">
      <c r="B1039" s="28" t="s">
        <v>209</v>
      </c>
      <c r="C1039" s="23">
        <v>5</v>
      </c>
      <c r="D1039" s="9" t="s">
        <v>211</v>
      </c>
      <c r="I1039" s="28"/>
      <c r="O1039" s="179"/>
      <c r="P1039" s="40"/>
      <c r="Q1039" s="40"/>
      <c r="R1039" s="40"/>
      <c r="S1039" s="40"/>
      <c r="T1039" s="40"/>
    </row>
    <row r="1040" spans="1:25" s="9" customFormat="1" ht="17.25" customHeight="1" x14ac:dyDescent="0.2">
      <c r="B1040" s="28"/>
      <c r="C1040" s="214"/>
      <c r="I1040" s="28"/>
      <c r="O1040" s="179"/>
      <c r="P1040" s="40"/>
      <c r="Q1040" s="40"/>
      <c r="R1040" s="40"/>
      <c r="S1040" s="40"/>
      <c r="T1040" s="40"/>
    </row>
    <row r="1041" spans="1:52" s="9" customFormat="1" ht="17.25" customHeight="1" x14ac:dyDescent="0.2">
      <c r="B1041" s="28" t="s">
        <v>96</v>
      </c>
      <c r="C1041" s="74">
        <f>$B$76</f>
        <v>210</v>
      </c>
      <c r="D1041" s="9" t="s">
        <v>97</v>
      </c>
      <c r="I1041" s="28"/>
      <c r="O1041" s="179"/>
      <c r="R1041" s="40"/>
      <c r="S1041" s="40"/>
      <c r="T1041" s="40"/>
    </row>
    <row r="1042" spans="1:52" s="9" customFormat="1" ht="17.25" customHeight="1" x14ac:dyDescent="0.2">
      <c r="B1042" s="28" t="s">
        <v>105</v>
      </c>
      <c r="C1042" s="74">
        <f>$B$78</f>
        <v>4200</v>
      </c>
      <c r="D1042" s="3" t="s">
        <v>106</v>
      </c>
      <c r="E1042" s="3"/>
      <c r="F1042" s="3"/>
      <c r="G1042" s="3"/>
      <c r="I1042" s="28"/>
      <c r="O1042" s="179"/>
      <c r="P1042" s="9" t="s">
        <v>78</v>
      </c>
      <c r="R1042" s="40"/>
      <c r="S1042" s="40"/>
      <c r="T1042" s="40"/>
    </row>
    <row r="1043" spans="1:52" s="9" customFormat="1" ht="17.25" customHeight="1" x14ac:dyDescent="0.2">
      <c r="A1043" s="282" t="s">
        <v>79</v>
      </c>
      <c r="B1043" s="282"/>
      <c r="C1043" s="173">
        <v>0.9</v>
      </c>
      <c r="D1043" s="9" t="s">
        <v>93</v>
      </c>
      <c r="O1043" s="179"/>
    </row>
    <row r="1044" spans="1:52" s="9" customFormat="1" ht="17.25" customHeight="1" x14ac:dyDescent="0.2">
      <c r="A1044" s="282" t="s">
        <v>80</v>
      </c>
      <c r="B1044" s="282"/>
      <c r="C1044" s="172">
        <v>100</v>
      </c>
      <c r="D1044" s="9" t="s">
        <v>182</v>
      </c>
      <c r="N1044" s="28" t="s">
        <v>5</v>
      </c>
      <c r="O1044" s="283">
        <f>C1043*C1041*C1044*C1045^2</f>
        <v>17010000</v>
      </c>
      <c r="P1044" s="284"/>
      <c r="Q1044" s="284"/>
      <c r="R1044" s="285"/>
    </row>
    <row r="1045" spans="1:52" s="9" customFormat="1" ht="17.25" customHeight="1" x14ac:dyDescent="0.2">
      <c r="A1045" s="282" t="s">
        <v>81</v>
      </c>
      <c r="B1045" s="282"/>
      <c r="C1045" s="76">
        <f>C1038-C1039</f>
        <v>30</v>
      </c>
      <c r="D1045" s="9" t="s">
        <v>210</v>
      </c>
      <c r="I1045" s="77"/>
      <c r="N1045" s="28" t="s">
        <v>82</v>
      </c>
      <c r="O1045" s="283">
        <f>C1048*100</f>
        <v>123630</v>
      </c>
      <c r="P1045" s="284"/>
      <c r="Q1045" s="284"/>
      <c r="R1045" s="285"/>
      <c r="W1045" s="9" t="s">
        <v>83</v>
      </c>
    </row>
    <row r="1046" spans="1:52" s="9" customFormat="1" ht="17.25" customHeight="1" x14ac:dyDescent="0.2">
      <c r="A1046" s="282" t="s">
        <v>95</v>
      </c>
      <c r="B1046" s="282"/>
      <c r="C1046" s="8" t="s">
        <v>84</v>
      </c>
      <c r="D1046" s="9" t="s">
        <v>94</v>
      </c>
      <c r="O1046" s="179"/>
    </row>
    <row r="1047" spans="1:52" s="9" customFormat="1" ht="17.25" customHeight="1" x14ac:dyDescent="0.2">
      <c r="A1047" s="28"/>
      <c r="B1047" s="28"/>
      <c r="C1047" s="8"/>
      <c r="O1047" s="179"/>
    </row>
    <row r="1048" spans="1:52" s="9" customFormat="1" ht="17.25" customHeight="1" x14ac:dyDescent="0.2">
      <c r="A1048" s="9" t="s">
        <v>85</v>
      </c>
      <c r="B1048" s="25" t="s">
        <v>86</v>
      </c>
      <c r="C1048" s="267">
        <f>C1037*1000*1.3</f>
        <v>1236.3</v>
      </c>
      <c r="D1048" s="267" t="s">
        <v>87</v>
      </c>
      <c r="E1048" s="9" t="s">
        <v>92</v>
      </c>
      <c r="I1048" s="9" t="s">
        <v>88</v>
      </c>
      <c r="K1048" s="28" t="s">
        <v>89</v>
      </c>
      <c r="L1048" s="79">
        <f>(O1044+((O1044)^2-2.36*O1044*O1045)^(1/2))/(1.18*O1044)</f>
        <v>1.6876157397176661</v>
      </c>
      <c r="O1048" s="179"/>
    </row>
    <row r="1049" spans="1:52" s="9" customFormat="1" ht="17.25" customHeight="1" thickBot="1" x14ac:dyDescent="0.25">
      <c r="B1049" s="25"/>
      <c r="C1049" s="207"/>
      <c r="K1049" s="28" t="s">
        <v>90</v>
      </c>
      <c r="L1049" s="79">
        <f>(O1044-((O1044)^2-2.36*O1044*O1045)^(1/2))/(1.18*O1044)</f>
        <v>7.2995145196219332E-3</v>
      </c>
      <c r="O1049" s="179"/>
    </row>
    <row r="1050" spans="1:52" s="3" customFormat="1" ht="17.25" customHeight="1" x14ac:dyDescent="0.2">
      <c r="A1050" s="3" t="s">
        <v>91</v>
      </c>
      <c r="E1050" s="51" t="s">
        <v>107</v>
      </c>
      <c r="F1050" s="80" t="s">
        <v>98</v>
      </c>
      <c r="H1050" s="69" t="str">
        <f>"======&gt;"</f>
        <v>======&gt;</v>
      </c>
      <c r="I1050" s="39" t="s">
        <v>104</v>
      </c>
      <c r="J1050" s="81">
        <f>MIN(L1048:L1049)*C1041/C1042</f>
        <v>3.6497572598109666E-4</v>
      </c>
      <c r="O1050" s="232"/>
      <c r="AZ1050" s="44"/>
    </row>
    <row r="1051" spans="1:52" s="3" customFormat="1" ht="17.25" customHeight="1" thickBot="1" x14ac:dyDescent="0.25">
      <c r="E1051" s="37"/>
      <c r="F1051" s="53" t="s">
        <v>62</v>
      </c>
      <c r="G1051" s="43"/>
      <c r="M1051" s="5"/>
      <c r="N1051" s="5"/>
      <c r="O1051" s="238"/>
      <c r="P1051" s="5"/>
      <c r="Q1051" s="5"/>
      <c r="R1051" s="5"/>
      <c r="S1051" s="5"/>
      <c r="T1051" s="5"/>
      <c r="U1051" s="5"/>
      <c r="V1051" s="5"/>
      <c r="W1051" s="5"/>
      <c r="X1051" s="5"/>
      <c r="Y1051" s="5"/>
      <c r="Z1051" s="5"/>
      <c r="AA1051" s="5"/>
      <c r="AB1051" s="5"/>
      <c r="AC1051" s="5"/>
      <c r="AD1051" s="5"/>
      <c r="AE1051" s="5"/>
      <c r="AF1051" s="5"/>
      <c r="AG1051" s="5"/>
      <c r="AH1051" s="5"/>
      <c r="AZ1051" s="44"/>
    </row>
    <row r="1052" spans="1:52" s="3" customFormat="1" ht="17.25" customHeight="1" thickBot="1" x14ac:dyDescent="0.25">
      <c r="E1052" s="43"/>
      <c r="F1052" s="43"/>
      <c r="G1052" s="43"/>
      <c r="M1052" s="5"/>
      <c r="N1052" s="5"/>
      <c r="O1052" s="238"/>
      <c r="P1052" s="5"/>
      <c r="Q1052" s="5"/>
      <c r="R1052" s="5"/>
      <c r="S1052" s="5"/>
      <c r="T1052" s="5"/>
      <c r="U1052" s="5"/>
      <c r="V1052" s="5"/>
      <c r="W1052" s="5"/>
      <c r="X1052" s="5"/>
      <c r="Y1052" s="5"/>
      <c r="Z1052" s="5"/>
      <c r="AA1052" s="5"/>
      <c r="AB1052" s="5"/>
      <c r="AC1052" s="5"/>
      <c r="AD1052" s="5"/>
      <c r="AE1052" s="5"/>
      <c r="AF1052" s="5"/>
      <c r="AG1052" s="5"/>
      <c r="AH1052" s="5"/>
      <c r="AZ1052" s="44"/>
    </row>
    <row r="1053" spans="1:52" s="3" customFormat="1" ht="17.25" customHeight="1" thickBot="1" x14ac:dyDescent="0.25">
      <c r="A1053" s="3" t="s">
        <v>99</v>
      </c>
      <c r="E1053" s="68" t="s">
        <v>108</v>
      </c>
      <c r="F1053" s="70" t="s">
        <v>100</v>
      </c>
      <c r="H1053" s="69" t="str">
        <f>"======&gt;"</f>
        <v>======&gt;</v>
      </c>
      <c r="I1053" s="39" t="s">
        <v>109</v>
      </c>
      <c r="J1053" s="82">
        <f>J1050*C1045*C1044</f>
        <v>1.0949271779432901</v>
      </c>
      <c r="M1053" s="5"/>
      <c r="N1053" s="5"/>
      <c r="O1053" s="232"/>
      <c r="R1053" s="5"/>
      <c r="S1053" s="5"/>
      <c r="T1053" s="5"/>
      <c r="U1053" s="5"/>
      <c r="V1053" s="5"/>
      <c r="W1053" s="5"/>
      <c r="X1053" s="5"/>
      <c r="Y1053" s="5"/>
      <c r="Z1053" s="5"/>
      <c r="AA1053" s="5"/>
      <c r="AB1053" s="5"/>
      <c r="AC1053" s="5"/>
      <c r="AD1053" s="5"/>
      <c r="AE1053" s="5"/>
      <c r="AF1053" s="5"/>
      <c r="AG1053" s="5"/>
      <c r="AH1053" s="5"/>
      <c r="AZ1053" s="44"/>
    </row>
    <row r="1054" spans="1:52" s="3" customFormat="1" ht="17.25" customHeight="1" thickBot="1" x14ac:dyDescent="0.25">
      <c r="K1054" s="83"/>
      <c r="L1054" s="83"/>
      <c r="M1054" s="5"/>
      <c r="N1054" s="5"/>
      <c r="O1054" s="232"/>
      <c r="Y1054" s="5"/>
      <c r="Z1054" s="5"/>
      <c r="AA1054" s="5"/>
      <c r="AB1054" s="5"/>
      <c r="AC1054" s="5"/>
      <c r="AD1054" s="5"/>
      <c r="AE1054" s="5"/>
      <c r="AF1054" s="5"/>
      <c r="AG1054" s="5"/>
      <c r="AH1054" s="5"/>
      <c r="AZ1054" s="44"/>
    </row>
    <row r="1055" spans="1:52" s="3" customFormat="1" ht="17.25" customHeight="1" x14ac:dyDescent="0.2">
      <c r="A1055" s="3" t="s">
        <v>101</v>
      </c>
      <c r="E1055" s="51" t="s">
        <v>110</v>
      </c>
      <c r="F1055" s="80" t="s">
        <v>102</v>
      </c>
      <c r="H1055" s="69" t="str">
        <f>"======&gt;"</f>
        <v>======&gt;</v>
      </c>
      <c r="I1055" s="39" t="s">
        <v>111</v>
      </c>
      <c r="J1055" s="82">
        <f>14*C1045*C1044/C1042</f>
        <v>10</v>
      </c>
      <c r="M1055" s="5"/>
      <c r="N1055" s="5"/>
      <c r="O1055" s="232"/>
      <c r="X1055" s="5"/>
      <c r="Y1055" s="5"/>
      <c r="Z1055" s="5"/>
      <c r="AA1055" s="5"/>
      <c r="AB1055" s="5"/>
      <c r="AC1055" s="5"/>
      <c r="AD1055" s="5"/>
      <c r="AE1055" s="5"/>
      <c r="AF1055" s="5"/>
      <c r="AG1055" s="5"/>
      <c r="AH1055" s="5"/>
      <c r="AZ1055" s="44"/>
    </row>
    <row r="1056" spans="1:52" s="3" customFormat="1" ht="17.25" customHeight="1" thickBot="1" x14ac:dyDescent="0.25">
      <c r="E1056" s="37"/>
      <c r="F1056" s="53" t="s">
        <v>62</v>
      </c>
      <c r="G1056" s="43"/>
      <c r="M1056" s="5"/>
      <c r="O1056" s="232"/>
      <c r="X1056" s="5"/>
      <c r="Y1056" s="5"/>
      <c r="Z1056" s="5"/>
      <c r="AA1056" s="5"/>
      <c r="AB1056" s="5"/>
      <c r="AC1056" s="5"/>
      <c r="AD1056" s="5"/>
      <c r="AE1056" s="5"/>
      <c r="AF1056" s="5"/>
      <c r="AG1056" s="5"/>
      <c r="AH1056" s="5"/>
      <c r="AZ1056" s="44"/>
    </row>
    <row r="1057" spans="1:53" s="3" customFormat="1" ht="17.25" customHeight="1" thickBot="1" x14ac:dyDescent="0.25">
      <c r="E1057" s="9"/>
      <c r="F1057" s="9"/>
      <c r="G1057" s="9"/>
      <c r="H1057" s="9"/>
      <c r="I1057" s="9"/>
      <c r="M1057" s="5"/>
      <c r="O1057" s="232"/>
      <c r="V1057" s="5"/>
      <c r="W1057" s="5"/>
      <c r="X1057" s="5"/>
      <c r="Y1057" s="5"/>
      <c r="Z1057" s="5"/>
      <c r="AA1057" s="5"/>
      <c r="AB1057" s="5"/>
      <c r="AC1057" s="5"/>
      <c r="AD1057" s="5"/>
      <c r="AE1057" s="5"/>
      <c r="AF1057" s="5"/>
      <c r="AG1057" s="5"/>
      <c r="AH1057" s="5"/>
      <c r="AZ1057" s="44"/>
    </row>
    <row r="1058" spans="1:53" s="3" customFormat="1" ht="17.25" customHeight="1" thickBot="1" x14ac:dyDescent="0.25">
      <c r="C1058" s="13" t="s">
        <v>103</v>
      </c>
      <c r="F1058" s="180" t="s">
        <v>113</v>
      </c>
      <c r="G1058" s="270">
        <f>MAX(J1053,J1055)</f>
        <v>10</v>
      </c>
      <c r="H1058" s="271"/>
      <c r="I1058" s="9"/>
      <c r="J1058" s="5"/>
      <c r="M1058" s="5"/>
      <c r="O1058" s="232"/>
      <c r="V1058" s="5"/>
      <c r="W1058" s="5"/>
      <c r="X1058" s="5"/>
      <c r="Y1058" s="5"/>
      <c r="Z1058" s="5"/>
      <c r="AA1058" s="5"/>
      <c r="AB1058" s="5"/>
      <c r="AC1058" s="5"/>
      <c r="AD1058" s="5"/>
      <c r="AE1058" s="5"/>
      <c r="AF1058" s="5"/>
      <c r="AG1058" s="5"/>
      <c r="AH1058" s="5"/>
      <c r="AZ1058" s="44"/>
    </row>
    <row r="1059" spans="1:53" s="3" customFormat="1" ht="17.25" customHeight="1" x14ac:dyDescent="0.2">
      <c r="C1059" s="13"/>
      <c r="F1059" s="252"/>
      <c r="G1059" s="253"/>
      <c r="H1059" s="253"/>
      <c r="I1059" s="9"/>
      <c r="J1059" s="5"/>
      <c r="M1059" s="5"/>
      <c r="O1059" s="232"/>
      <c r="V1059" s="5"/>
      <c r="W1059" s="5"/>
      <c r="X1059" s="5"/>
      <c r="Y1059" s="5"/>
      <c r="Z1059" s="5"/>
      <c r="AA1059" s="5"/>
      <c r="AB1059" s="5"/>
      <c r="AC1059" s="5"/>
      <c r="AD1059" s="5"/>
      <c r="AE1059" s="5"/>
      <c r="AF1059" s="5"/>
      <c r="AG1059" s="5"/>
      <c r="AH1059" s="5"/>
      <c r="AZ1059" s="44"/>
    </row>
    <row r="1060" spans="1:53" s="9" customFormat="1" ht="17.25" customHeight="1" x14ac:dyDescent="0.2">
      <c r="B1060" s="28"/>
      <c r="C1060" s="78"/>
      <c r="N1060" s="3"/>
      <c r="O1060" s="179"/>
    </row>
    <row r="1061" spans="1:53" ht="17.25" customHeight="1" x14ac:dyDescent="0.2">
      <c r="A1061" s="13" t="s">
        <v>172</v>
      </c>
      <c r="B1061" s="5"/>
      <c r="C1061" s="5"/>
      <c r="D1061" s="5"/>
      <c r="J1061" s="5"/>
      <c r="K1061" s="5"/>
      <c r="L1061" s="5"/>
      <c r="M1061" s="5"/>
      <c r="N1061" s="99" t="s">
        <v>165</v>
      </c>
      <c r="O1061" s="239" t="s">
        <v>166</v>
      </c>
      <c r="P1061" s="100" t="s">
        <v>167</v>
      </c>
      <c r="Q1061" s="5"/>
      <c r="R1061" s="5"/>
      <c r="S1061" s="5"/>
      <c r="T1061" s="5"/>
      <c r="U1061" s="5"/>
      <c r="V1061" s="5"/>
      <c r="W1061" s="5"/>
      <c r="X1061" s="5"/>
      <c r="Y1061" s="5"/>
      <c r="Z1061" s="5"/>
      <c r="AA1061" s="5"/>
      <c r="AB1061" s="5"/>
      <c r="AC1061" s="5"/>
      <c r="AD1061" s="5"/>
      <c r="AE1061" s="5"/>
      <c r="AF1061" s="5"/>
      <c r="AG1061" s="5"/>
      <c r="AH1061" s="5"/>
    </row>
    <row r="1062" spans="1:53" s="49" customFormat="1" ht="17.25" customHeight="1" thickBot="1" x14ac:dyDescent="0.25">
      <c r="A1062" s="12"/>
      <c r="I1062" s="3"/>
      <c r="J1062" s="3"/>
      <c r="K1062" s="3"/>
      <c r="L1062" s="3"/>
      <c r="M1062" s="8"/>
      <c r="N1062" s="101">
        <v>0.375</v>
      </c>
      <c r="O1062" s="240">
        <v>0.71</v>
      </c>
      <c r="P1062" s="102">
        <v>0.95</v>
      </c>
      <c r="U1062" s="111"/>
      <c r="V1062" s="111"/>
      <c r="W1062" s="111"/>
      <c r="X1062" s="111"/>
      <c r="Y1062" s="111"/>
      <c r="Z1062" s="111"/>
      <c r="AA1062" s="111"/>
      <c r="AB1062" s="111"/>
      <c r="AC1062" s="111"/>
      <c r="AD1062" s="111"/>
      <c r="AE1062" s="111"/>
      <c r="AF1062" s="111"/>
      <c r="AG1062" s="111"/>
      <c r="AH1062" s="111"/>
    </row>
    <row r="1063" spans="1:53" s="43" customFormat="1" ht="17.25" customHeight="1" x14ac:dyDescent="0.2">
      <c r="A1063" s="112" t="s">
        <v>180</v>
      </c>
      <c r="B1063" s="3"/>
      <c r="C1063" s="165" t="s">
        <v>214</v>
      </c>
      <c r="D1063" s="287" t="s">
        <v>215</v>
      </c>
      <c r="E1063" s="288"/>
      <c r="F1063" s="288"/>
      <c r="G1063" s="288"/>
      <c r="H1063" s="288"/>
      <c r="I1063" s="288"/>
      <c r="J1063" s="289"/>
      <c r="K1063" s="3"/>
      <c r="L1063" s="3"/>
      <c r="M1063" s="3"/>
      <c r="N1063" s="101">
        <v>0.5</v>
      </c>
      <c r="O1063" s="240">
        <v>1.27</v>
      </c>
      <c r="P1063" s="102">
        <v>1.27</v>
      </c>
      <c r="U1063" s="111"/>
      <c r="AV1063" s="49"/>
      <c r="AW1063" s="49"/>
      <c r="AX1063" s="49"/>
      <c r="AY1063" s="49"/>
      <c r="AZ1063" s="49"/>
      <c r="BA1063" s="49"/>
    </row>
    <row r="1064" spans="1:53" s="43" customFormat="1" ht="17.25" customHeight="1" thickBot="1" x14ac:dyDescent="0.25">
      <c r="C1064" s="219">
        <f>G1058</f>
        <v>10</v>
      </c>
      <c r="D1064" s="203">
        <f>ROUNDUP(C1064/(VLOOKUP(F1064,$N$889:$P$896,2)),0)</f>
        <v>8</v>
      </c>
      <c r="E1064" s="203" t="s">
        <v>175</v>
      </c>
      <c r="F1064" s="113">
        <v>0.5</v>
      </c>
      <c r="G1064" s="203" t="s">
        <v>176</v>
      </c>
      <c r="H1064" s="203" t="s">
        <v>177</v>
      </c>
      <c r="I1064" s="204">
        <f>1/D1064</f>
        <v>0.125</v>
      </c>
      <c r="J1064" s="205" t="s">
        <v>0</v>
      </c>
      <c r="K1064" s="3"/>
      <c r="L1064" s="3"/>
      <c r="M1064" s="5"/>
      <c r="N1064" s="101">
        <v>0.625</v>
      </c>
      <c r="O1064" s="240">
        <v>1.98</v>
      </c>
      <c r="P1064" s="102">
        <v>1.59</v>
      </c>
      <c r="U1064" s="111"/>
      <c r="AV1064" s="49"/>
      <c r="AW1064" s="49"/>
      <c r="AX1064" s="49"/>
      <c r="AY1064" s="49"/>
      <c r="AZ1064" s="49"/>
      <c r="BA1064" s="49"/>
    </row>
    <row r="1065" spans="1:53" s="3" customFormat="1" ht="17.25" customHeight="1" x14ac:dyDescent="0.2">
      <c r="A1065" s="9"/>
      <c r="B1065" s="9"/>
      <c r="C1065" s="9"/>
      <c r="D1065" s="9"/>
      <c r="E1065" s="9"/>
      <c r="F1065" s="9"/>
      <c r="G1065" s="9"/>
      <c r="H1065" s="9"/>
      <c r="M1065" s="5"/>
      <c r="N1065" s="101">
        <v>0.75</v>
      </c>
      <c r="O1065" s="240">
        <v>2.85</v>
      </c>
      <c r="P1065" s="102">
        <v>1.91</v>
      </c>
      <c r="U1065" s="5"/>
      <c r="AV1065" s="10"/>
      <c r="AW1065" s="10"/>
      <c r="AX1065" s="10"/>
      <c r="AY1065" s="10"/>
      <c r="AZ1065" s="10"/>
      <c r="BA1065" s="10"/>
    </row>
    <row r="1066" spans="1:53" ht="17.25" customHeight="1" x14ac:dyDescent="0.2">
      <c r="A1066" s="10"/>
      <c r="B1066" s="10"/>
      <c r="C1066" s="10"/>
      <c r="D1066" s="10"/>
      <c r="E1066" s="10"/>
      <c r="F1066" s="10"/>
      <c r="G1066" s="10"/>
      <c r="H1066" s="10"/>
      <c r="I1066" s="10"/>
      <c r="J1066" s="10"/>
      <c r="K1066" s="3"/>
      <c r="L1066" s="3"/>
      <c r="M1066" s="5"/>
      <c r="N1066" s="101">
        <v>1</v>
      </c>
      <c r="O1066" s="240">
        <v>5.07</v>
      </c>
      <c r="P1066" s="102">
        <v>2.54</v>
      </c>
      <c r="U1066" s="5"/>
      <c r="V1066" s="5"/>
      <c r="W1066" s="5"/>
      <c r="X1066" s="5"/>
      <c r="Y1066" s="5"/>
      <c r="Z1066" s="5"/>
      <c r="AA1066" s="5"/>
      <c r="AB1066" s="5"/>
      <c r="AC1066" s="5"/>
      <c r="AD1066" s="5"/>
      <c r="AE1066" s="5"/>
      <c r="AF1066" s="5"/>
      <c r="AG1066" s="5"/>
      <c r="AH1066" s="5"/>
    </row>
    <row r="1067" spans="1:53" s="49" customFormat="1" ht="17.25" customHeight="1" thickBot="1" x14ac:dyDescent="0.25">
      <c r="K1067" s="3"/>
      <c r="L1067" s="3"/>
      <c r="M1067" s="5"/>
      <c r="N1067" s="101">
        <v>1.125</v>
      </c>
      <c r="O1067" s="240">
        <v>6.45</v>
      </c>
      <c r="P1067" s="108">
        <f>N1067*2.54</f>
        <v>2.8574999999999999</v>
      </c>
      <c r="U1067" s="111"/>
      <c r="V1067" s="111"/>
      <c r="W1067" s="111"/>
      <c r="X1067" s="111"/>
      <c r="Y1067" s="111"/>
      <c r="Z1067" s="111"/>
      <c r="AA1067" s="111"/>
      <c r="AB1067" s="111"/>
      <c r="AC1067" s="111"/>
      <c r="AD1067" s="111"/>
      <c r="AE1067" s="111"/>
      <c r="AF1067" s="111"/>
      <c r="AG1067" s="111"/>
      <c r="AH1067" s="111"/>
    </row>
    <row r="1068" spans="1:53" ht="17.25" customHeight="1" x14ac:dyDescent="0.2">
      <c r="A1068" s="112" t="s">
        <v>181</v>
      </c>
      <c r="B1068" s="10"/>
      <c r="C1068" s="165" t="s">
        <v>214</v>
      </c>
      <c r="D1068" s="287" t="s">
        <v>215</v>
      </c>
      <c r="E1068" s="288"/>
      <c r="F1068" s="288"/>
      <c r="G1068" s="288"/>
      <c r="H1068" s="288"/>
      <c r="I1068" s="288"/>
      <c r="J1068" s="289"/>
      <c r="K1068" s="3"/>
      <c r="L1068" s="3"/>
      <c r="M1068" s="5"/>
      <c r="N1068" s="101">
        <v>1.25</v>
      </c>
      <c r="O1068" s="240">
        <v>8.19</v>
      </c>
      <c r="P1068" s="108">
        <f>N1068*2.54</f>
        <v>3.1749999999999998</v>
      </c>
      <c r="U1068" s="5"/>
      <c r="V1068" s="5"/>
      <c r="W1068" s="5"/>
      <c r="X1068" s="5"/>
      <c r="Y1068" s="5"/>
      <c r="Z1068" s="5"/>
      <c r="AA1068" s="5"/>
      <c r="AB1068" s="5"/>
      <c r="AC1068" s="5"/>
      <c r="AD1068" s="5"/>
      <c r="AE1068" s="5"/>
      <c r="AF1068" s="5"/>
      <c r="AG1068" s="5"/>
      <c r="AH1068" s="5"/>
    </row>
    <row r="1069" spans="1:53" ht="17.25" customHeight="1" thickBot="1" x14ac:dyDescent="0.25">
      <c r="A1069" s="49"/>
      <c r="B1069" s="49"/>
      <c r="C1069" s="219">
        <f>G1058</f>
        <v>10</v>
      </c>
      <c r="D1069" s="203">
        <f>ROUNDUP(C1069/(2*(VLOOKUP(F1069,$N$889:$P$896,2))),0)</f>
        <v>4</v>
      </c>
      <c r="E1069" s="203" t="s">
        <v>175</v>
      </c>
      <c r="F1069" s="113">
        <v>0.5</v>
      </c>
      <c r="G1069" s="203" t="s">
        <v>176</v>
      </c>
      <c r="H1069" s="203" t="s">
        <v>177</v>
      </c>
      <c r="I1069" s="204">
        <f>1/D1069</f>
        <v>0.25</v>
      </c>
      <c r="J1069" s="205" t="s">
        <v>0</v>
      </c>
      <c r="K1069" s="3"/>
      <c r="L1069" s="3"/>
      <c r="M1069" s="10"/>
      <c r="N1069" s="101">
        <v>1.375</v>
      </c>
      <c r="O1069" s="240">
        <v>9.58</v>
      </c>
      <c r="P1069" s="102">
        <v>3.49</v>
      </c>
      <c r="U1069" s="5"/>
      <c r="V1069" s="5"/>
      <c r="W1069" s="5"/>
      <c r="X1069" s="5"/>
      <c r="Y1069" s="5"/>
      <c r="Z1069" s="5"/>
      <c r="AA1069" s="5"/>
      <c r="AB1069" s="5"/>
      <c r="AC1069" s="5"/>
      <c r="AD1069" s="5"/>
      <c r="AE1069" s="5"/>
      <c r="AF1069" s="5"/>
      <c r="AG1069" s="5"/>
      <c r="AH1069" s="5"/>
    </row>
    <row r="1070" spans="1:53" ht="17.25" customHeight="1" x14ac:dyDescent="0.2">
      <c r="A1070" s="10"/>
      <c r="B1070" s="10"/>
      <c r="C1070" s="10"/>
      <c r="D1070" s="10"/>
      <c r="E1070" s="10"/>
      <c r="F1070" s="10"/>
      <c r="G1070" s="10"/>
      <c r="H1070" s="10"/>
      <c r="I1070" s="3"/>
      <c r="J1070" s="3"/>
      <c r="K1070" s="3"/>
      <c r="L1070" s="3"/>
      <c r="M1070" s="10"/>
      <c r="N1070" s="187"/>
      <c r="O1070" s="241"/>
      <c r="P1070" s="188"/>
      <c r="U1070" s="5"/>
      <c r="V1070" s="5"/>
      <c r="W1070" s="5"/>
      <c r="X1070" s="5"/>
      <c r="Y1070" s="5"/>
      <c r="Z1070" s="5"/>
      <c r="AA1070" s="5"/>
      <c r="AB1070" s="5"/>
      <c r="AC1070" s="5"/>
      <c r="AD1070" s="5"/>
      <c r="AE1070" s="5"/>
      <c r="AF1070" s="5"/>
      <c r="AG1070" s="5"/>
      <c r="AH1070" s="5"/>
    </row>
    <row r="1071" spans="1:53" ht="17.25" customHeight="1" x14ac:dyDescent="0.2">
      <c r="A1071" s="10"/>
      <c r="B1071" s="10"/>
      <c r="C1071" s="10"/>
      <c r="D1071" s="10"/>
      <c r="E1071" s="10"/>
      <c r="F1071" s="10"/>
      <c r="G1071" s="10"/>
      <c r="H1071" s="10"/>
      <c r="I1071" s="3"/>
      <c r="J1071" s="3"/>
      <c r="K1071" s="3"/>
      <c r="L1071" s="3"/>
      <c r="M1071" s="10"/>
      <c r="X1071" s="5"/>
      <c r="Y1071" s="5"/>
      <c r="Z1071" s="5"/>
      <c r="AA1071" s="5"/>
      <c r="AB1071" s="5"/>
      <c r="AC1071" s="5"/>
      <c r="AD1071" s="5"/>
      <c r="AE1071" s="5"/>
      <c r="AF1071" s="5"/>
      <c r="AG1071" s="5"/>
      <c r="AH1071" s="5"/>
    </row>
    <row r="1072" spans="1:53" ht="17.25" customHeight="1" x14ac:dyDescent="0.2">
      <c r="A1072" s="10"/>
      <c r="B1072" s="10"/>
      <c r="C1072" s="10"/>
      <c r="D1072" s="10"/>
      <c r="E1072" s="10"/>
      <c r="F1072" s="10"/>
      <c r="G1072" s="10"/>
      <c r="H1072" s="10"/>
      <c r="I1072" s="3"/>
      <c r="J1072" s="3"/>
      <c r="K1072" s="3"/>
      <c r="L1072" s="3"/>
      <c r="M1072" s="10"/>
      <c r="X1072" s="5"/>
      <c r="Y1072" s="5"/>
      <c r="Z1072" s="5"/>
      <c r="AA1072" s="5"/>
      <c r="AB1072" s="5"/>
      <c r="AC1072" s="5"/>
      <c r="AD1072" s="5"/>
      <c r="AE1072" s="5"/>
      <c r="AF1072" s="5"/>
      <c r="AG1072" s="5"/>
      <c r="AH1072" s="5"/>
    </row>
    <row r="1073" spans="1:34" ht="17.25" customHeight="1" x14ac:dyDescent="0.2">
      <c r="A1073" s="10"/>
      <c r="B1073" s="10"/>
      <c r="C1073" s="10"/>
      <c r="D1073" s="10"/>
      <c r="E1073" s="10"/>
      <c r="F1073" s="10"/>
      <c r="G1073" s="10"/>
      <c r="H1073" s="10"/>
      <c r="I1073" s="3"/>
      <c r="J1073" s="3"/>
      <c r="K1073" s="3"/>
      <c r="L1073" s="3"/>
      <c r="M1073" s="10"/>
      <c r="X1073" s="5"/>
      <c r="Y1073" s="5"/>
      <c r="Z1073" s="5"/>
      <c r="AA1073" s="5"/>
      <c r="AB1073" s="5"/>
      <c r="AC1073" s="5"/>
      <c r="AD1073" s="5"/>
      <c r="AE1073" s="5"/>
      <c r="AF1073" s="5"/>
      <c r="AG1073" s="5"/>
      <c r="AH1073" s="5"/>
    </row>
    <row r="1074" spans="1:34" ht="17.25" customHeight="1" x14ac:dyDescent="0.2">
      <c r="A1074" s="10"/>
      <c r="B1074" s="10"/>
      <c r="C1074" s="10"/>
      <c r="D1074" s="10"/>
      <c r="E1074" s="10"/>
      <c r="F1074" s="10"/>
      <c r="G1074" s="10"/>
      <c r="H1074" s="10"/>
      <c r="I1074" s="3"/>
      <c r="J1074" s="3"/>
      <c r="K1074" s="3"/>
      <c r="L1074" s="3"/>
      <c r="M1074" s="10"/>
      <c r="X1074" s="5"/>
      <c r="Y1074" s="5"/>
      <c r="Z1074" s="5"/>
      <c r="AA1074" s="5"/>
      <c r="AB1074" s="5"/>
      <c r="AC1074" s="5"/>
      <c r="AD1074" s="5"/>
      <c r="AE1074" s="5"/>
      <c r="AF1074" s="5"/>
      <c r="AG1074" s="5"/>
      <c r="AH1074" s="5"/>
    </row>
    <row r="1075" spans="1:34" ht="17.25" customHeight="1" x14ac:dyDescent="0.2">
      <c r="A1075" s="10"/>
      <c r="B1075" s="10"/>
      <c r="C1075" s="10"/>
      <c r="D1075" s="10"/>
      <c r="E1075" s="10"/>
      <c r="F1075" s="10"/>
      <c r="G1075" s="10"/>
      <c r="H1075" s="10"/>
      <c r="I1075" s="3"/>
      <c r="J1075" s="3"/>
      <c r="K1075" s="3"/>
      <c r="L1075" s="3"/>
      <c r="M1075" s="10"/>
      <c r="X1075" s="5"/>
      <c r="Y1075" s="5"/>
      <c r="Z1075" s="5"/>
      <c r="AA1075" s="5"/>
      <c r="AB1075" s="5"/>
      <c r="AC1075" s="5"/>
      <c r="AD1075" s="5"/>
      <c r="AE1075" s="5"/>
      <c r="AF1075" s="5"/>
      <c r="AG1075" s="5"/>
      <c r="AH1075" s="5"/>
    </row>
    <row r="1076" spans="1:34" ht="17.25" customHeight="1" x14ac:dyDescent="0.2">
      <c r="A1076" s="10"/>
      <c r="B1076" s="10"/>
      <c r="C1076" s="10"/>
      <c r="D1076" s="10"/>
      <c r="E1076" s="10"/>
      <c r="F1076" s="10"/>
      <c r="G1076" s="10"/>
      <c r="H1076" s="10"/>
      <c r="I1076" s="3"/>
      <c r="J1076" s="3"/>
      <c r="K1076" s="3"/>
      <c r="L1076" s="3"/>
      <c r="M1076" s="10"/>
      <c r="X1076" s="5"/>
      <c r="Y1076" s="5"/>
      <c r="Z1076" s="5"/>
      <c r="AA1076" s="5"/>
      <c r="AB1076" s="5"/>
      <c r="AC1076" s="5"/>
      <c r="AD1076" s="5"/>
      <c r="AE1076" s="5"/>
      <c r="AF1076" s="5"/>
      <c r="AG1076" s="5"/>
      <c r="AH1076" s="5"/>
    </row>
    <row r="1077" spans="1:34" ht="17.25" customHeight="1" x14ac:dyDescent="0.2">
      <c r="A1077" s="10"/>
      <c r="B1077" s="10"/>
      <c r="C1077" s="10"/>
      <c r="D1077" s="10"/>
      <c r="E1077" s="10"/>
      <c r="F1077" s="10"/>
      <c r="G1077" s="10"/>
      <c r="H1077" s="10"/>
      <c r="I1077" s="3"/>
      <c r="J1077" s="3"/>
      <c r="K1077" s="3"/>
      <c r="L1077" s="3"/>
      <c r="M1077" s="10"/>
      <c r="X1077" s="5"/>
      <c r="Y1077" s="5"/>
      <c r="Z1077" s="5"/>
      <c r="AA1077" s="5"/>
      <c r="AB1077" s="5"/>
      <c r="AC1077" s="5"/>
      <c r="AD1077" s="5"/>
      <c r="AE1077" s="5"/>
      <c r="AF1077" s="5"/>
      <c r="AG1077" s="5"/>
      <c r="AH1077" s="5"/>
    </row>
    <row r="1078" spans="1:34" ht="17.25" customHeight="1" x14ac:dyDescent="0.2">
      <c r="A1078" s="10"/>
      <c r="B1078" s="10"/>
      <c r="C1078" s="10"/>
      <c r="D1078" s="10"/>
      <c r="E1078" s="10"/>
      <c r="F1078" s="10"/>
      <c r="G1078" s="10"/>
      <c r="H1078" s="10"/>
      <c r="I1078" s="3"/>
      <c r="J1078" s="3"/>
      <c r="K1078" s="3"/>
      <c r="L1078" s="3"/>
      <c r="M1078" s="10"/>
      <c r="X1078" s="5"/>
      <c r="Y1078" s="5"/>
      <c r="Z1078" s="5"/>
      <c r="AA1078" s="5"/>
      <c r="AB1078" s="5"/>
      <c r="AC1078" s="5"/>
      <c r="AD1078" s="5"/>
      <c r="AE1078" s="5"/>
      <c r="AF1078" s="5"/>
      <c r="AG1078" s="5"/>
      <c r="AH1078" s="5"/>
    </row>
    <row r="1079" spans="1:34" ht="17.25" customHeight="1" x14ac:dyDescent="0.2">
      <c r="A1079" s="10"/>
      <c r="B1079" s="10"/>
      <c r="C1079" s="10"/>
      <c r="D1079" s="10"/>
      <c r="E1079" s="10"/>
      <c r="F1079" s="10"/>
      <c r="G1079" s="10"/>
      <c r="H1079" s="10"/>
      <c r="I1079" s="3"/>
      <c r="J1079" s="3"/>
      <c r="K1079" s="3"/>
      <c r="L1079" s="3"/>
      <c r="M1079" s="10"/>
      <c r="X1079" s="5"/>
      <c r="Y1079" s="5"/>
      <c r="Z1079" s="5"/>
      <c r="AA1079" s="5"/>
      <c r="AB1079" s="5"/>
      <c r="AC1079" s="5"/>
      <c r="AD1079" s="5"/>
      <c r="AE1079" s="5"/>
      <c r="AF1079" s="5"/>
      <c r="AG1079" s="5"/>
      <c r="AH1079" s="5"/>
    </row>
    <row r="1080" spans="1:34" ht="17.25" customHeight="1" x14ac:dyDescent="0.2">
      <c r="A1080" s="10"/>
      <c r="B1080" s="10"/>
      <c r="C1080" s="10"/>
      <c r="D1080" s="10"/>
      <c r="E1080" s="10"/>
      <c r="F1080" s="10"/>
      <c r="G1080" s="10"/>
      <c r="H1080" s="10"/>
      <c r="I1080" s="3"/>
      <c r="J1080" s="3"/>
      <c r="K1080" s="3"/>
      <c r="L1080" s="3"/>
      <c r="M1080" s="10"/>
      <c r="X1080" s="5"/>
      <c r="Y1080" s="5"/>
      <c r="Z1080" s="5"/>
      <c r="AA1080" s="5"/>
      <c r="AB1080" s="5"/>
      <c r="AC1080" s="5"/>
      <c r="AD1080" s="5"/>
      <c r="AE1080" s="5"/>
      <c r="AF1080" s="5"/>
      <c r="AG1080" s="5"/>
      <c r="AH1080" s="5"/>
    </row>
    <row r="1081" spans="1:34" ht="17.25" customHeight="1" x14ac:dyDescent="0.2">
      <c r="A1081" s="10"/>
      <c r="B1081" s="10"/>
      <c r="C1081" s="10"/>
      <c r="D1081" s="10"/>
      <c r="E1081" s="10"/>
      <c r="F1081" s="10"/>
      <c r="G1081" s="10"/>
      <c r="H1081" s="10"/>
      <c r="I1081" s="3"/>
      <c r="J1081" s="3"/>
      <c r="K1081" s="3"/>
      <c r="L1081" s="3"/>
      <c r="M1081" s="10"/>
      <c r="X1081" s="5"/>
      <c r="Y1081" s="5"/>
      <c r="Z1081" s="5"/>
      <c r="AA1081" s="5"/>
      <c r="AB1081" s="5"/>
      <c r="AC1081" s="5"/>
      <c r="AD1081" s="5"/>
      <c r="AE1081" s="5"/>
      <c r="AF1081" s="5"/>
      <c r="AG1081" s="5"/>
      <c r="AH1081" s="5"/>
    </row>
    <row r="1082" spans="1:34" ht="17.25" customHeight="1" x14ac:dyDescent="0.2">
      <c r="A1082" s="10"/>
      <c r="B1082" s="10"/>
      <c r="C1082" s="10"/>
      <c r="D1082" s="10"/>
      <c r="E1082" s="10"/>
      <c r="F1082" s="10"/>
      <c r="G1082" s="10"/>
      <c r="H1082" s="10"/>
      <c r="I1082" s="3"/>
      <c r="J1082" s="3"/>
      <c r="K1082" s="3"/>
      <c r="L1082" s="3"/>
      <c r="M1082" s="10"/>
      <c r="X1082" s="5"/>
      <c r="Y1082" s="5"/>
      <c r="Z1082" s="5"/>
      <c r="AA1082" s="5"/>
      <c r="AB1082" s="5"/>
      <c r="AC1082" s="5"/>
      <c r="AD1082" s="5"/>
      <c r="AE1082" s="5"/>
      <c r="AF1082" s="5"/>
      <c r="AG1082" s="5"/>
      <c r="AH1082" s="5"/>
    </row>
    <row r="1083" spans="1:34" ht="17.25" customHeight="1" x14ac:dyDescent="0.2">
      <c r="A1083" s="10"/>
      <c r="B1083" s="10"/>
      <c r="C1083" s="10"/>
      <c r="D1083" s="10"/>
      <c r="E1083" s="10"/>
      <c r="F1083" s="10"/>
      <c r="G1083" s="10"/>
      <c r="H1083" s="10"/>
      <c r="I1083" s="3"/>
      <c r="J1083" s="3"/>
      <c r="K1083" s="3"/>
      <c r="L1083" s="3"/>
      <c r="M1083" s="10"/>
      <c r="X1083" s="5"/>
      <c r="Y1083" s="5"/>
      <c r="Z1083" s="5"/>
      <c r="AA1083" s="5"/>
      <c r="AB1083" s="5"/>
      <c r="AC1083" s="5"/>
      <c r="AD1083" s="5"/>
      <c r="AE1083" s="5"/>
      <c r="AF1083" s="5"/>
      <c r="AG1083" s="5"/>
      <c r="AH1083" s="5"/>
    </row>
    <row r="1084" spans="1:34" ht="17.25" customHeight="1" x14ac:dyDescent="0.2">
      <c r="A1084" s="10"/>
      <c r="B1084" s="10"/>
      <c r="C1084" s="10"/>
      <c r="D1084" s="10"/>
      <c r="E1084" s="10"/>
      <c r="F1084" s="10"/>
      <c r="G1084" s="10"/>
      <c r="H1084" s="10"/>
      <c r="I1084" s="3"/>
      <c r="J1084" s="3"/>
      <c r="K1084" s="3"/>
      <c r="L1084" s="3"/>
      <c r="M1084" s="10"/>
      <c r="X1084" s="5"/>
      <c r="Y1084" s="5"/>
      <c r="Z1084" s="5"/>
      <c r="AA1084" s="5"/>
      <c r="AB1084" s="5"/>
      <c r="AC1084" s="5"/>
      <c r="AD1084" s="5"/>
      <c r="AE1084" s="5"/>
      <c r="AF1084" s="5"/>
      <c r="AG1084" s="5"/>
      <c r="AH1084" s="5"/>
    </row>
    <row r="1085" spans="1:34" ht="17.25" customHeight="1" x14ac:dyDescent="0.2">
      <c r="A1085" s="10"/>
      <c r="B1085" s="10"/>
      <c r="C1085" s="10"/>
      <c r="D1085" s="10"/>
      <c r="E1085" s="10"/>
      <c r="F1085" s="10"/>
      <c r="G1085" s="10"/>
      <c r="H1085" s="10"/>
      <c r="I1085" s="3"/>
      <c r="J1085" s="3"/>
      <c r="K1085" s="3"/>
      <c r="L1085" s="3"/>
      <c r="M1085" s="10"/>
      <c r="X1085" s="5"/>
      <c r="Y1085" s="5"/>
      <c r="Z1085" s="5"/>
      <c r="AA1085" s="5"/>
      <c r="AB1085" s="5"/>
      <c r="AC1085" s="5"/>
      <c r="AD1085" s="5"/>
      <c r="AE1085" s="5"/>
      <c r="AF1085" s="5"/>
      <c r="AG1085" s="5"/>
      <c r="AH1085" s="5"/>
    </row>
    <row r="1086" spans="1:34" ht="17.25" customHeight="1" x14ac:dyDescent="0.2">
      <c r="A1086" s="10"/>
      <c r="B1086" s="10"/>
      <c r="C1086" s="10"/>
      <c r="D1086" s="10"/>
      <c r="E1086" s="10"/>
      <c r="F1086" s="10"/>
      <c r="G1086" s="10"/>
      <c r="H1086" s="10"/>
      <c r="I1086" s="3"/>
      <c r="J1086" s="3"/>
      <c r="K1086" s="3"/>
      <c r="L1086" s="3"/>
      <c r="M1086" s="10"/>
      <c r="X1086" s="5"/>
      <c r="Y1086" s="5"/>
      <c r="Z1086" s="5"/>
      <c r="AA1086" s="5"/>
      <c r="AB1086" s="5"/>
      <c r="AC1086" s="5"/>
      <c r="AD1086" s="5"/>
      <c r="AE1086" s="5"/>
      <c r="AF1086" s="5"/>
      <c r="AG1086" s="5"/>
      <c r="AH1086" s="5"/>
    </row>
    <row r="1087" spans="1:34" ht="17.25" customHeight="1" x14ac:dyDescent="0.2">
      <c r="A1087" s="10"/>
      <c r="B1087" s="10"/>
      <c r="C1087" s="10"/>
      <c r="D1087" s="10"/>
      <c r="E1087" s="10"/>
      <c r="F1087" s="10"/>
      <c r="G1087" s="10"/>
      <c r="H1087" s="10"/>
      <c r="I1087" s="3"/>
      <c r="J1087" s="3"/>
      <c r="K1087" s="3"/>
      <c r="L1087" s="3"/>
      <c r="M1087" s="10"/>
      <c r="X1087" s="5"/>
      <c r="Y1087" s="5"/>
      <c r="Z1087" s="5"/>
      <c r="AA1087" s="5"/>
      <c r="AB1087" s="5"/>
      <c r="AC1087" s="5"/>
      <c r="AD1087" s="5"/>
      <c r="AE1087" s="5"/>
      <c r="AF1087" s="5"/>
      <c r="AG1087" s="5"/>
      <c r="AH1087" s="5"/>
    </row>
    <row r="1088" spans="1:34" ht="17.25" customHeight="1" x14ac:dyDescent="0.2">
      <c r="A1088" s="10"/>
      <c r="B1088" s="10"/>
      <c r="C1088" s="10"/>
      <c r="D1088" s="10"/>
      <c r="E1088" s="10"/>
      <c r="F1088" s="10"/>
      <c r="G1088" s="10"/>
      <c r="H1088" s="10"/>
      <c r="I1088" s="3"/>
      <c r="J1088" s="3"/>
      <c r="K1088" s="3"/>
      <c r="L1088" s="3"/>
      <c r="M1088" s="10"/>
      <c r="X1088" s="5"/>
      <c r="Y1088" s="5"/>
      <c r="Z1088" s="5"/>
      <c r="AA1088" s="5"/>
      <c r="AB1088" s="5"/>
      <c r="AC1088" s="5"/>
      <c r="AD1088" s="5"/>
      <c r="AE1088" s="5"/>
      <c r="AF1088" s="5"/>
      <c r="AG1088" s="5"/>
      <c r="AH1088" s="5"/>
    </row>
    <row r="1089" spans="1:34" ht="17.25" customHeight="1" x14ac:dyDescent="0.2">
      <c r="A1089" s="10"/>
      <c r="B1089" s="10"/>
      <c r="C1089" s="10"/>
      <c r="D1089" s="10"/>
      <c r="E1089" s="10"/>
      <c r="F1089" s="10"/>
      <c r="G1089" s="10"/>
      <c r="H1089" s="10"/>
      <c r="I1089" s="3"/>
      <c r="J1089" s="3"/>
      <c r="K1089" s="3"/>
      <c r="L1089" s="3"/>
      <c r="M1089" s="10"/>
      <c r="X1089" s="5"/>
      <c r="Y1089" s="5"/>
      <c r="Z1089" s="5"/>
      <c r="AA1089" s="5"/>
      <c r="AB1089" s="5"/>
      <c r="AC1089" s="5"/>
      <c r="AD1089" s="5"/>
      <c r="AE1089" s="5"/>
      <c r="AF1089" s="5"/>
      <c r="AG1089" s="5"/>
      <c r="AH1089" s="5"/>
    </row>
    <row r="1090" spans="1:34" ht="17.25" customHeight="1" x14ac:dyDescent="0.2">
      <c r="A1090" s="10"/>
      <c r="B1090" s="10"/>
      <c r="C1090" s="10"/>
      <c r="D1090" s="10"/>
      <c r="E1090" s="10"/>
      <c r="F1090" s="10"/>
      <c r="G1090" s="10"/>
      <c r="H1090" s="10"/>
      <c r="I1090" s="3"/>
      <c r="J1090" s="3"/>
      <c r="K1090" s="3"/>
      <c r="L1090" s="3"/>
      <c r="M1090" s="10"/>
      <c r="X1090" s="5"/>
      <c r="Y1090" s="5"/>
      <c r="Z1090" s="5"/>
      <c r="AA1090" s="5"/>
      <c r="AB1090" s="5"/>
      <c r="AC1090" s="5"/>
      <c r="AD1090" s="5"/>
      <c r="AE1090" s="5"/>
      <c r="AF1090" s="5"/>
      <c r="AG1090" s="5"/>
      <c r="AH1090" s="5"/>
    </row>
    <row r="1091" spans="1:34" ht="17.25" customHeight="1" x14ac:dyDescent="0.2">
      <c r="A1091" s="10"/>
      <c r="B1091" s="10"/>
      <c r="C1091" s="10"/>
      <c r="D1091" s="10"/>
      <c r="E1091" s="10"/>
      <c r="F1091" s="10"/>
      <c r="G1091" s="10"/>
      <c r="H1091" s="10"/>
      <c r="I1091" s="3"/>
      <c r="J1091" s="3"/>
      <c r="K1091" s="3"/>
      <c r="L1091" s="3"/>
      <c r="M1091" s="10"/>
      <c r="X1091" s="5"/>
      <c r="Y1091" s="5"/>
      <c r="Z1091" s="5"/>
      <c r="AA1091" s="5"/>
      <c r="AB1091" s="5"/>
      <c r="AC1091" s="5"/>
      <c r="AD1091" s="5"/>
      <c r="AE1091" s="5"/>
      <c r="AF1091" s="5"/>
      <c r="AG1091" s="5"/>
      <c r="AH1091" s="5"/>
    </row>
    <row r="1092" spans="1:34" ht="17.25" customHeight="1" x14ac:dyDescent="0.2">
      <c r="A1092" s="10"/>
      <c r="B1092" s="10"/>
      <c r="C1092" s="10"/>
      <c r="D1092" s="10"/>
      <c r="E1092" s="10"/>
      <c r="F1092" s="10"/>
      <c r="G1092" s="10"/>
      <c r="H1092" s="10"/>
      <c r="I1092" s="3"/>
      <c r="J1092" s="3"/>
      <c r="K1092" s="3"/>
      <c r="L1092" s="3"/>
      <c r="M1092" s="10"/>
      <c r="X1092" s="5"/>
      <c r="Y1092" s="5"/>
      <c r="Z1092" s="5"/>
      <c r="AA1092" s="5"/>
      <c r="AB1092" s="5"/>
      <c r="AC1092" s="5"/>
      <c r="AD1092" s="5"/>
      <c r="AE1092" s="5"/>
      <c r="AF1092" s="5"/>
      <c r="AG1092" s="5"/>
      <c r="AH1092" s="5"/>
    </row>
    <row r="1093" spans="1:34" ht="17.25" customHeight="1" x14ac:dyDescent="0.2">
      <c r="A1093" s="10"/>
      <c r="B1093" s="10"/>
      <c r="C1093" s="10"/>
      <c r="D1093" s="10"/>
      <c r="E1093" s="10"/>
      <c r="F1093" s="10"/>
      <c r="G1093" s="10"/>
      <c r="H1093" s="10"/>
      <c r="I1093" s="3"/>
      <c r="J1093" s="3"/>
      <c r="K1093" s="3"/>
      <c r="L1093" s="3"/>
      <c r="M1093" s="10"/>
      <c r="X1093" s="5"/>
      <c r="Y1093" s="5"/>
      <c r="Z1093" s="5"/>
      <c r="AA1093" s="5"/>
      <c r="AB1093" s="5"/>
      <c r="AC1093" s="5"/>
      <c r="AD1093" s="5"/>
      <c r="AE1093" s="5"/>
      <c r="AF1093" s="5"/>
      <c r="AG1093" s="5"/>
      <c r="AH1093" s="5"/>
    </row>
    <row r="1094" spans="1:34" ht="17.25" customHeight="1" x14ac:dyDescent="0.2">
      <c r="A1094" s="10"/>
      <c r="B1094" s="10"/>
      <c r="C1094" s="10"/>
      <c r="D1094" s="10"/>
      <c r="E1094" s="10"/>
      <c r="F1094" s="10"/>
      <c r="G1094" s="10"/>
      <c r="H1094" s="10"/>
      <c r="I1094" s="3"/>
      <c r="J1094" s="3"/>
      <c r="K1094" s="3"/>
      <c r="L1094" s="3"/>
      <c r="M1094" s="10"/>
      <c r="X1094" s="5"/>
      <c r="Y1094" s="5"/>
      <c r="Z1094" s="5"/>
      <c r="AA1094" s="5"/>
      <c r="AB1094" s="5"/>
      <c r="AC1094" s="5"/>
      <c r="AD1094" s="5"/>
      <c r="AE1094" s="5"/>
      <c r="AF1094" s="5"/>
      <c r="AG1094" s="5"/>
      <c r="AH1094" s="5"/>
    </row>
    <row r="1095" spans="1:34" s="3" customFormat="1" ht="17.25" customHeight="1" x14ac:dyDescent="0.2">
      <c r="A1095" s="117" t="s">
        <v>518</v>
      </c>
      <c r="O1095" s="232"/>
      <c r="U1095" s="104"/>
      <c r="V1095" s="43"/>
      <c r="X1095" s="90"/>
      <c r="Y1095" s="90"/>
    </row>
    <row r="1096" spans="1:34" s="9" customFormat="1" ht="17.25" customHeight="1" x14ac:dyDescent="0.2">
      <c r="A1096" s="9" t="s">
        <v>4</v>
      </c>
      <c r="I1096" s="28"/>
      <c r="O1096" s="179"/>
    </row>
    <row r="1097" spans="1:34" s="9" customFormat="1" ht="17.25" customHeight="1" x14ac:dyDescent="0.2">
      <c r="I1097" s="28"/>
      <c r="O1097" s="179"/>
    </row>
    <row r="1098" spans="1:34" s="9" customFormat="1" ht="17.25" customHeight="1" x14ac:dyDescent="0.2">
      <c r="B1098" s="28" t="s">
        <v>126</v>
      </c>
      <c r="C1098" s="213">
        <v>0.751</v>
      </c>
      <c r="D1098" s="9" t="s">
        <v>497</v>
      </c>
      <c r="I1098" s="28"/>
      <c r="O1098" s="179"/>
    </row>
    <row r="1099" spans="1:34" s="9" customFormat="1" ht="17.25" customHeight="1" x14ac:dyDescent="0.2">
      <c r="B1099" s="28" t="s">
        <v>208</v>
      </c>
      <c r="C1099" s="172">
        <v>25</v>
      </c>
      <c r="D1099" s="9" t="s">
        <v>212</v>
      </c>
      <c r="I1099" s="28"/>
      <c r="O1099" s="179"/>
      <c r="P1099" s="40"/>
      <c r="Q1099" s="40"/>
      <c r="R1099" s="40"/>
      <c r="S1099" s="40"/>
      <c r="T1099" s="40"/>
    </row>
    <row r="1100" spans="1:34" s="9" customFormat="1" ht="17.25" customHeight="1" x14ac:dyDescent="0.2">
      <c r="B1100" s="28" t="s">
        <v>209</v>
      </c>
      <c r="C1100" s="172">
        <v>7.5</v>
      </c>
      <c r="D1100" s="9" t="s">
        <v>211</v>
      </c>
      <c r="I1100" s="28"/>
      <c r="O1100" s="179"/>
      <c r="P1100" s="40"/>
      <c r="Q1100" s="40"/>
      <c r="R1100" s="40"/>
      <c r="S1100" s="40"/>
      <c r="T1100" s="40"/>
    </row>
    <row r="1101" spans="1:34" s="9" customFormat="1" ht="17.25" customHeight="1" x14ac:dyDescent="0.2">
      <c r="B1101" s="28" t="s">
        <v>96</v>
      </c>
      <c r="C1101" s="74">
        <f>$B$76</f>
        <v>210</v>
      </c>
      <c r="D1101" s="9" t="s">
        <v>97</v>
      </c>
      <c r="I1101" s="28"/>
      <c r="O1101" s="179"/>
      <c r="R1101" s="40"/>
      <c r="S1101" s="40"/>
      <c r="T1101" s="40"/>
    </row>
    <row r="1102" spans="1:34" s="9" customFormat="1" ht="17.25" customHeight="1" x14ac:dyDescent="0.2">
      <c r="B1102" s="28" t="s">
        <v>105</v>
      </c>
      <c r="C1102" s="74">
        <f>$B$78</f>
        <v>4200</v>
      </c>
      <c r="D1102" s="3" t="s">
        <v>106</v>
      </c>
      <c r="E1102" s="3"/>
      <c r="F1102" s="3"/>
      <c r="G1102" s="3"/>
      <c r="I1102" s="28"/>
      <c r="O1102" s="179"/>
      <c r="P1102" s="9" t="s">
        <v>78</v>
      </c>
      <c r="R1102" s="40"/>
      <c r="S1102" s="40"/>
      <c r="T1102" s="40"/>
    </row>
    <row r="1103" spans="1:34" s="9" customFormat="1" ht="17.25" customHeight="1" x14ac:dyDescent="0.2">
      <c r="A1103" s="282" t="s">
        <v>79</v>
      </c>
      <c r="B1103" s="282"/>
      <c r="C1103" s="173">
        <v>0.9</v>
      </c>
      <c r="D1103" s="9" t="s">
        <v>93</v>
      </c>
      <c r="O1103" s="179"/>
    </row>
    <row r="1104" spans="1:34" s="9" customFormat="1" ht="17.25" customHeight="1" x14ac:dyDescent="0.2">
      <c r="A1104" s="282" t="s">
        <v>80</v>
      </c>
      <c r="B1104" s="282"/>
      <c r="C1104" s="172">
        <v>100</v>
      </c>
      <c r="D1104" s="9" t="s">
        <v>182</v>
      </c>
      <c r="N1104" s="28" t="s">
        <v>5</v>
      </c>
      <c r="O1104" s="283">
        <f>C1103*C1101*C1104*C1105^2</f>
        <v>5788125</v>
      </c>
      <c r="P1104" s="284"/>
      <c r="Q1104" s="284"/>
      <c r="R1104" s="285"/>
    </row>
    <row r="1105" spans="1:52" s="9" customFormat="1" ht="17.25" customHeight="1" x14ac:dyDescent="0.2">
      <c r="A1105" s="282" t="s">
        <v>81</v>
      </c>
      <c r="B1105" s="282"/>
      <c r="C1105" s="76">
        <f>C1099-C1100</f>
        <v>17.5</v>
      </c>
      <c r="D1105" s="9" t="s">
        <v>210</v>
      </c>
      <c r="I1105" s="77"/>
      <c r="N1105" s="28" t="s">
        <v>82</v>
      </c>
      <c r="O1105" s="283">
        <f>C1109*100</f>
        <v>97630</v>
      </c>
      <c r="P1105" s="284"/>
      <c r="Q1105" s="284"/>
      <c r="R1105" s="285"/>
      <c r="W1105" s="9" t="s">
        <v>83</v>
      </c>
    </row>
    <row r="1106" spans="1:52" s="9" customFormat="1" ht="17.25" customHeight="1" x14ac:dyDescent="0.2">
      <c r="A1106" s="282" t="s">
        <v>95</v>
      </c>
      <c r="B1106" s="282"/>
      <c r="C1106" s="8" t="s">
        <v>84</v>
      </c>
      <c r="D1106" s="9" t="s">
        <v>94</v>
      </c>
      <c r="O1106" s="179"/>
    </row>
    <row r="1107" spans="1:52" s="9" customFormat="1" ht="17.25" customHeight="1" x14ac:dyDescent="0.2">
      <c r="C1107" s="8"/>
      <c r="O1107" s="179"/>
    </row>
    <row r="1108" spans="1:52" s="9" customFormat="1" ht="17.25" customHeight="1" x14ac:dyDescent="0.2">
      <c r="C1108" s="8"/>
      <c r="O1108" s="179"/>
    </row>
    <row r="1109" spans="1:52" s="9" customFormat="1" ht="17.25" customHeight="1" x14ac:dyDescent="0.2">
      <c r="A1109" s="9" t="s">
        <v>85</v>
      </c>
      <c r="B1109" s="25" t="s">
        <v>86</v>
      </c>
      <c r="C1109" s="267">
        <f>C1098*1000*1.3</f>
        <v>976.30000000000007</v>
      </c>
      <c r="D1109" s="267" t="s">
        <v>87</v>
      </c>
      <c r="E1109" s="9" t="s">
        <v>92</v>
      </c>
      <c r="I1109" s="9" t="s">
        <v>88</v>
      </c>
      <c r="K1109" s="28" t="s">
        <v>89</v>
      </c>
      <c r="L1109" s="79">
        <f>(O1104+((O1104)^2-2.36*O1104*O1105)^(1/2))/(1.18*O1104)</f>
        <v>1.6778766765417288</v>
      </c>
      <c r="O1109" s="179"/>
    </row>
    <row r="1110" spans="1:52" s="9" customFormat="1" ht="17.25" customHeight="1" thickBot="1" x14ac:dyDescent="0.25">
      <c r="B1110" s="25"/>
      <c r="K1110" s="28" t="s">
        <v>90</v>
      </c>
      <c r="L1110" s="79">
        <f>(O1104-((O1104)^2-2.36*O1104*O1105)^(1/2))/(1.18*O1104)</f>
        <v>1.70385776955593E-2</v>
      </c>
      <c r="O1110" s="179"/>
    </row>
    <row r="1111" spans="1:52" s="3" customFormat="1" ht="17.25" customHeight="1" x14ac:dyDescent="0.2">
      <c r="A1111" s="3" t="s">
        <v>91</v>
      </c>
      <c r="E1111" s="51" t="s">
        <v>107</v>
      </c>
      <c r="F1111" s="80" t="s">
        <v>98</v>
      </c>
      <c r="H1111" s="69" t="str">
        <f>"======&gt;"</f>
        <v>======&gt;</v>
      </c>
      <c r="I1111" s="39" t="s">
        <v>104</v>
      </c>
      <c r="J1111" s="81">
        <f>MIN(L1109:L1110)*C1101/C1102</f>
        <v>8.5192888477796493E-4</v>
      </c>
      <c r="O1111" s="232"/>
      <c r="AZ1111" s="44"/>
    </row>
    <row r="1112" spans="1:52" s="3" customFormat="1" ht="17.25" customHeight="1" thickBot="1" x14ac:dyDescent="0.25">
      <c r="E1112" s="37"/>
      <c r="F1112" s="53" t="s">
        <v>62</v>
      </c>
      <c r="G1112" s="43"/>
      <c r="M1112" s="5"/>
      <c r="N1112" s="99" t="s">
        <v>165</v>
      </c>
      <c r="O1112" s="239" t="s">
        <v>166</v>
      </c>
      <c r="P1112" s="100" t="s">
        <v>167</v>
      </c>
      <c r="Q1112" s="5"/>
      <c r="R1112" s="5"/>
      <c r="S1112" s="5"/>
      <c r="T1112" s="5"/>
      <c r="U1112" s="5"/>
      <c r="V1112" s="5"/>
      <c r="W1112" s="5"/>
      <c r="X1112" s="5"/>
      <c r="Y1112" s="5"/>
      <c r="Z1112" s="5"/>
      <c r="AA1112" s="5"/>
      <c r="AB1112" s="5"/>
      <c r="AC1112" s="5"/>
      <c r="AD1112" s="5"/>
      <c r="AE1112" s="5"/>
      <c r="AF1112" s="5"/>
      <c r="AG1112" s="5"/>
      <c r="AH1112" s="5"/>
      <c r="AZ1112" s="44"/>
    </row>
    <row r="1113" spans="1:52" s="3" customFormat="1" ht="17.25" customHeight="1" thickBot="1" x14ac:dyDescent="0.25">
      <c r="E1113" s="43"/>
      <c r="F1113" s="43"/>
      <c r="G1113" s="43"/>
      <c r="M1113" s="5"/>
      <c r="N1113" s="101">
        <v>0.375</v>
      </c>
      <c r="O1113" s="240">
        <v>0.71</v>
      </c>
      <c r="P1113" s="102">
        <v>0.95</v>
      </c>
      <c r="Q1113" s="5"/>
      <c r="R1113" s="5"/>
      <c r="S1113" s="5"/>
      <c r="T1113" s="5"/>
      <c r="U1113" s="5"/>
      <c r="V1113" s="5"/>
      <c r="W1113" s="5"/>
      <c r="X1113" s="5"/>
      <c r="Y1113" s="5"/>
      <c r="Z1113" s="5"/>
      <c r="AA1113" s="5"/>
      <c r="AB1113" s="5"/>
      <c r="AC1113" s="5"/>
      <c r="AD1113" s="5"/>
      <c r="AE1113" s="5"/>
      <c r="AF1113" s="5"/>
      <c r="AG1113" s="5"/>
      <c r="AH1113" s="5"/>
      <c r="AZ1113" s="44"/>
    </row>
    <row r="1114" spans="1:52" s="9" customFormat="1" ht="17.25" customHeight="1" thickBot="1" x14ac:dyDescent="0.25">
      <c r="A1114" s="3" t="s">
        <v>99</v>
      </c>
      <c r="B1114" s="28"/>
      <c r="C1114" s="78"/>
      <c r="E1114" s="68" t="s">
        <v>108</v>
      </c>
      <c r="F1114" s="70" t="s">
        <v>100</v>
      </c>
      <c r="H1114" s="69" t="str">
        <f>"======&gt;"</f>
        <v>======&gt;</v>
      </c>
      <c r="I1114" s="39" t="s">
        <v>109</v>
      </c>
      <c r="J1114" s="82">
        <f>J1111*C1105*C1104</f>
        <v>1.4908755483614387</v>
      </c>
      <c r="N1114" s="101">
        <v>0.5</v>
      </c>
      <c r="O1114" s="240">
        <v>1.27</v>
      </c>
      <c r="P1114" s="102">
        <v>1.27</v>
      </c>
    </row>
    <row r="1115" spans="1:52" s="3" customFormat="1" ht="17.25" customHeight="1" thickBot="1" x14ac:dyDescent="0.25">
      <c r="M1115" s="5"/>
      <c r="N1115" s="101">
        <v>0.625</v>
      </c>
      <c r="O1115" s="240">
        <v>1.98</v>
      </c>
      <c r="P1115" s="102">
        <v>1.59</v>
      </c>
      <c r="Q1115" s="5"/>
      <c r="R1115" s="5"/>
      <c r="S1115" s="5"/>
      <c r="T1115" s="5"/>
      <c r="U1115" s="5"/>
      <c r="V1115" s="5"/>
      <c r="W1115" s="5"/>
      <c r="X1115" s="5"/>
      <c r="Y1115" s="5"/>
      <c r="Z1115" s="5"/>
      <c r="AA1115" s="5"/>
      <c r="AB1115" s="5"/>
      <c r="AC1115" s="5"/>
      <c r="AD1115" s="5"/>
      <c r="AE1115" s="5"/>
      <c r="AF1115" s="5"/>
      <c r="AG1115" s="5"/>
      <c r="AH1115" s="5"/>
      <c r="AZ1115" s="44"/>
    </row>
    <row r="1116" spans="1:52" s="3" customFormat="1" ht="17.25" customHeight="1" x14ac:dyDescent="0.2">
      <c r="E1116" s="51" t="s">
        <v>110</v>
      </c>
      <c r="F1116" s="80" t="s">
        <v>102</v>
      </c>
      <c r="H1116" s="69" t="str">
        <f>"======&gt;"</f>
        <v>======&gt;</v>
      </c>
      <c r="I1116" s="39" t="s">
        <v>111</v>
      </c>
      <c r="J1116" s="82">
        <f>14*C1105*C1104/C1102</f>
        <v>5.833333333333333</v>
      </c>
      <c r="M1116" s="5"/>
      <c r="N1116" s="101">
        <v>0.75</v>
      </c>
      <c r="O1116" s="240">
        <v>2.85</v>
      </c>
      <c r="P1116" s="102">
        <v>1.91</v>
      </c>
      <c r="Y1116" s="5"/>
      <c r="Z1116" s="5"/>
      <c r="AA1116" s="5"/>
      <c r="AB1116" s="5"/>
      <c r="AC1116" s="5"/>
      <c r="AD1116" s="5"/>
      <c r="AE1116" s="5"/>
      <c r="AF1116" s="5"/>
      <c r="AG1116" s="5"/>
      <c r="AH1116" s="5"/>
      <c r="AZ1116" s="44"/>
    </row>
    <row r="1117" spans="1:52" s="3" customFormat="1" ht="17.25" customHeight="1" thickBot="1" x14ac:dyDescent="0.25">
      <c r="A1117" s="3" t="s">
        <v>101</v>
      </c>
      <c r="E1117" s="37"/>
      <c r="F1117" s="53" t="s">
        <v>62</v>
      </c>
      <c r="M1117" s="5"/>
      <c r="N1117" s="101">
        <v>1</v>
      </c>
      <c r="O1117" s="240">
        <v>5.07</v>
      </c>
      <c r="P1117" s="102">
        <v>2.54</v>
      </c>
      <c r="X1117" s="5"/>
      <c r="Y1117" s="5"/>
      <c r="Z1117" s="5"/>
      <c r="AA1117" s="5"/>
      <c r="AB1117" s="5"/>
      <c r="AC1117" s="5"/>
      <c r="AD1117" s="5"/>
      <c r="AE1117" s="5"/>
      <c r="AF1117" s="5"/>
      <c r="AG1117" s="5"/>
      <c r="AH1117" s="5"/>
      <c r="AZ1117" s="44"/>
    </row>
    <row r="1118" spans="1:52" s="3" customFormat="1" ht="17.25" customHeight="1" thickBot="1" x14ac:dyDescent="0.25">
      <c r="G1118" s="43"/>
      <c r="M1118" s="5"/>
      <c r="N1118" s="101">
        <v>1.125</v>
      </c>
      <c r="O1118" s="240">
        <v>6.45</v>
      </c>
      <c r="P1118" s="108">
        <f>N1118*2.54</f>
        <v>2.8574999999999999</v>
      </c>
      <c r="X1118" s="5"/>
      <c r="Y1118" s="5"/>
      <c r="Z1118" s="5"/>
      <c r="AA1118" s="5"/>
      <c r="AB1118" s="5"/>
      <c r="AC1118" s="5"/>
      <c r="AD1118" s="5"/>
      <c r="AE1118" s="5"/>
      <c r="AF1118" s="5"/>
      <c r="AG1118" s="5"/>
      <c r="AH1118" s="5"/>
      <c r="AZ1118" s="44"/>
    </row>
    <row r="1119" spans="1:52" s="3" customFormat="1" ht="17.25" customHeight="1" thickBot="1" x14ac:dyDescent="0.25">
      <c r="B1119" s="13" t="s">
        <v>103</v>
      </c>
      <c r="E1119" s="180" t="s">
        <v>113</v>
      </c>
      <c r="F1119" s="270">
        <f>MAX(J1114,J1116)</f>
        <v>5.833333333333333</v>
      </c>
      <c r="G1119" s="271"/>
      <c r="J1119" s="5"/>
      <c r="M1119" s="5"/>
      <c r="N1119" s="101">
        <v>1.25</v>
      </c>
      <c r="O1119" s="240">
        <v>8.19</v>
      </c>
      <c r="P1119" s="108">
        <f>N1119*2.54</f>
        <v>3.1749999999999998</v>
      </c>
      <c r="V1119" s="5"/>
      <c r="W1119" s="5"/>
      <c r="X1119" s="5"/>
      <c r="Y1119" s="5"/>
      <c r="Z1119" s="5"/>
      <c r="AA1119" s="5"/>
      <c r="AB1119" s="5"/>
      <c r="AC1119" s="5"/>
      <c r="AD1119" s="5"/>
      <c r="AE1119" s="5"/>
      <c r="AF1119" s="5"/>
      <c r="AG1119" s="5"/>
      <c r="AH1119" s="5"/>
      <c r="AZ1119" s="44"/>
    </row>
    <row r="1120" spans="1:52" s="9" customFormat="1" ht="17.25" customHeight="1" x14ac:dyDescent="0.2">
      <c r="B1120" s="28"/>
      <c r="C1120" s="78"/>
      <c r="N1120" s="101">
        <v>1.375</v>
      </c>
      <c r="O1120" s="240">
        <v>9.58</v>
      </c>
      <c r="P1120" s="102">
        <v>3.49</v>
      </c>
    </row>
    <row r="1121" spans="1:53" ht="17.25" customHeight="1" x14ac:dyDescent="0.2">
      <c r="A1121" s="13" t="s">
        <v>172</v>
      </c>
      <c r="B1121" s="5"/>
      <c r="C1121" s="5"/>
      <c r="D1121" s="5"/>
      <c r="J1121" s="5"/>
      <c r="K1121" s="5"/>
      <c r="L1121" s="5"/>
      <c r="M1121" s="5"/>
      <c r="N1121" s="5"/>
      <c r="O1121" s="238"/>
      <c r="P1121" s="5"/>
      <c r="Q1121" s="5"/>
      <c r="R1121" s="5"/>
      <c r="S1121" s="5"/>
      <c r="T1121" s="5"/>
      <c r="U1121" s="5"/>
      <c r="V1121" s="5"/>
      <c r="W1121" s="5"/>
      <c r="X1121" s="5"/>
      <c r="Y1121" s="5"/>
      <c r="Z1121" s="5"/>
      <c r="AA1121" s="5"/>
      <c r="AB1121" s="5"/>
      <c r="AC1121" s="5"/>
      <c r="AD1121" s="5"/>
      <c r="AE1121" s="5"/>
      <c r="AF1121" s="5"/>
      <c r="AG1121" s="5"/>
      <c r="AH1121" s="5"/>
    </row>
    <row r="1122" spans="1:53" s="49" customFormat="1" ht="17.25" customHeight="1" x14ac:dyDescent="0.2">
      <c r="A1122" s="12"/>
      <c r="I1122" s="3"/>
      <c r="J1122" s="3"/>
      <c r="K1122" s="3"/>
      <c r="L1122" s="3"/>
      <c r="M1122" s="8"/>
      <c r="O1122" s="242"/>
      <c r="U1122" s="111"/>
      <c r="V1122" s="111"/>
      <c r="W1122" s="111"/>
      <c r="X1122" s="111"/>
      <c r="Y1122" s="111"/>
      <c r="Z1122" s="111"/>
      <c r="AA1122" s="111"/>
      <c r="AB1122" s="111"/>
      <c r="AC1122" s="111"/>
      <c r="AD1122" s="111"/>
      <c r="AE1122" s="111"/>
      <c r="AF1122" s="111"/>
      <c r="AG1122" s="111"/>
      <c r="AH1122" s="111"/>
    </row>
    <row r="1123" spans="1:53" s="49" customFormat="1" ht="17.25" customHeight="1" thickBot="1" x14ac:dyDescent="0.25">
      <c r="A1123" s="12"/>
      <c r="I1123" s="3"/>
      <c r="J1123" s="3"/>
      <c r="K1123" s="3"/>
      <c r="L1123" s="3"/>
      <c r="M1123" s="8"/>
      <c r="O1123" s="242"/>
      <c r="U1123" s="111"/>
      <c r="V1123" s="111"/>
      <c r="W1123" s="111"/>
      <c r="X1123" s="111"/>
      <c r="Y1123" s="111"/>
      <c r="Z1123" s="111"/>
      <c r="AA1123" s="111"/>
      <c r="AB1123" s="111"/>
      <c r="AC1123" s="111"/>
      <c r="AD1123" s="111"/>
      <c r="AE1123" s="111"/>
      <c r="AF1123" s="111"/>
      <c r="AG1123" s="111"/>
      <c r="AH1123" s="111"/>
    </row>
    <row r="1124" spans="1:53" s="43" customFormat="1" ht="17.25" customHeight="1" x14ac:dyDescent="0.2">
      <c r="A1124" s="112" t="s">
        <v>180</v>
      </c>
      <c r="B1124" s="3"/>
      <c r="C1124" s="165" t="s">
        <v>214</v>
      </c>
      <c r="D1124" s="287" t="s">
        <v>215</v>
      </c>
      <c r="E1124" s="288"/>
      <c r="F1124" s="288"/>
      <c r="G1124" s="288"/>
      <c r="H1124" s="288"/>
      <c r="I1124" s="288"/>
      <c r="J1124" s="289"/>
      <c r="K1124" s="3"/>
      <c r="L1124" s="3"/>
      <c r="M1124" s="3"/>
      <c r="O1124" s="87"/>
      <c r="U1124" s="111"/>
      <c r="AV1124" s="49"/>
      <c r="AW1124" s="49"/>
      <c r="AX1124" s="49"/>
      <c r="AY1124" s="49"/>
      <c r="AZ1124" s="49"/>
      <c r="BA1124" s="49"/>
    </row>
    <row r="1125" spans="1:53" s="43" customFormat="1" ht="17.25" customHeight="1" thickBot="1" x14ac:dyDescent="0.25">
      <c r="C1125" s="219">
        <f>F1119</f>
        <v>5.833333333333333</v>
      </c>
      <c r="D1125" s="203">
        <f>ROUNDUP(C1125/(VLOOKUP(F1125,$N$889:$P$896,2)),0)</f>
        <v>5</v>
      </c>
      <c r="E1125" s="203" t="s">
        <v>175</v>
      </c>
      <c r="F1125" s="113">
        <v>0.5</v>
      </c>
      <c r="G1125" s="203" t="s">
        <v>176</v>
      </c>
      <c r="H1125" s="203" t="s">
        <v>177</v>
      </c>
      <c r="I1125" s="204">
        <f>1/D1125</f>
        <v>0.2</v>
      </c>
      <c r="J1125" s="205" t="s">
        <v>0</v>
      </c>
      <c r="K1125" s="3"/>
      <c r="L1125" s="3"/>
      <c r="M1125" s="5"/>
      <c r="O1125" s="87"/>
      <c r="U1125" s="111"/>
      <c r="AV1125" s="49"/>
      <c r="AW1125" s="49"/>
      <c r="AX1125" s="49"/>
      <c r="AY1125" s="49"/>
      <c r="AZ1125" s="49"/>
      <c r="BA1125" s="49"/>
    </row>
    <row r="1126" spans="1:53" s="43" customFormat="1" ht="17.25" customHeight="1" x14ac:dyDescent="0.2">
      <c r="I1126" s="3"/>
      <c r="J1126" s="3"/>
      <c r="K1126" s="3"/>
      <c r="L1126" s="3"/>
      <c r="M1126" s="111"/>
      <c r="O1126" s="87"/>
      <c r="U1126" s="111"/>
      <c r="AV1126" s="49"/>
      <c r="AW1126" s="49"/>
      <c r="AX1126" s="49"/>
      <c r="AY1126" s="49"/>
      <c r="AZ1126" s="49"/>
      <c r="BA1126" s="49"/>
    </row>
    <row r="1127" spans="1:53" s="3" customFormat="1" ht="17.25" customHeight="1" thickBot="1" x14ac:dyDescent="0.25">
      <c r="A1127" s="9"/>
      <c r="B1127" s="9"/>
      <c r="C1127" s="9"/>
      <c r="D1127" s="9"/>
      <c r="E1127" s="9"/>
      <c r="F1127" s="9"/>
      <c r="G1127" s="9"/>
      <c r="H1127" s="9"/>
      <c r="M1127" s="5"/>
      <c r="O1127" s="232"/>
      <c r="U1127" s="5"/>
      <c r="AV1127" s="10"/>
      <c r="AW1127" s="10"/>
      <c r="AX1127" s="10"/>
      <c r="AY1127" s="10"/>
      <c r="AZ1127" s="10"/>
      <c r="BA1127" s="10"/>
    </row>
    <row r="1128" spans="1:53" ht="17.25" customHeight="1" x14ac:dyDescent="0.2">
      <c r="A1128" s="112" t="s">
        <v>181</v>
      </c>
      <c r="B1128" s="10"/>
      <c r="C1128" s="165" t="s">
        <v>214</v>
      </c>
      <c r="D1128" s="287" t="s">
        <v>215</v>
      </c>
      <c r="E1128" s="288"/>
      <c r="F1128" s="288"/>
      <c r="G1128" s="288"/>
      <c r="H1128" s="288"/>
      <c r="I1128" s="288"/>
      <c r="J1128" s="289"/>
      <c r="K1128" s="3"/>
      <c r="L1128" s="3"/>
      <c r="M1128" s="5"/>
      <c r="U1128" s="5"/>
      <c r="V1128" s="5"/>
      <c r="W1128" s="5"/>
      <c r="X1128" s="5"/>
      <c r="Y1128" s="5"/>
      <c r="Z1128" s="5"/>
      <c r="AA1128" s="5"/>
      <c r="AB1128" s="5"/>
      <c r="AC1128" s="5"/>
      <c r="AD1128" s="5"/>
      <c r="AE1128" s="5"/>
      <c r="AF1128" s="5"/>
      <c r="AG1128" s="5"/>
      <c r="AH1128" s="5"/>
    </row>
    <row r="1129" spans="1:53" s="49" customFormat="1" ht="17.25" customHeight="1" thickBot="1" x14ac:dyDescent="0.25">
      <c r="C1129" s="219">
        <f>F1119</f>
        <v>5.833333333333333</v>
      </c>
      <c r="D1129" s="203">
        <f>ROUNDUP(C1129/(2*(VLOOKUP(F1129,$N$889:$P$896,2))),0)</f>
        <v>3</v>
      </c>
      <c r="E1129" s="203" t="s">
        <v>175</v>
      </c>
      <c r="F1129" s="113">
        <v>0.5</v>
      </c>
      <c r="G1129" s="203" t="s">
        <v>176</v>
      </c>
      <c r="H1129" s="203" t="s">
        <v>177</v>
      </c>
      <c r="I1129" s="204">
        <f>1/D1129</f>
        <v>0.33333333333333331</v>
      </c>
      <c r="J1129" s="205" t="s">
        <v>0</v>
      </c>
      <c r="K1129" s="3"/>
      <c r="L1129" s="3"/>
      <c r="M1129" s="5"/>
      <c r="O1129" s="242"/>
      <c r="U1129" s="111"/>
      <c r="V1129" s="111"/>
      <c r="W1129" s="111"/>
      <c r="X1129" s="111"/>
      <c r="Y1129" s="111"/>
      <c r="Z1129" s="111"/>
      <c r="AA1129" s="111"/>
      <c r="AB1129" s="111"/>
      <c r="AC1129" s="111"/>
      <c r="AD1129" s="111"/>
      <c r="AE1129" s="111"/>
      <c r="AF1129" s="111"/>
      <c r="AG1129" s="111"/>
      <c r="AH1129" s="111"/>
    </row>
    <row r="1130" spans="1:53" ht="17.25" customHeight="1" x14ac:dyDescent="0.2">
      <c r="A1130" s="10"/>
      <c r="B1130" s="10"/>
      <c r="C1130" s="10"/>
      <c r="D1130" s="10"/>
      <c r="E1130" s="10"/>
      <c r="F1130" s="10"/>
      <c r="G1130" s="10"/>
      <c r="H1130" s="10"/>
      <c r="I1130" s="10"/>
      <c r="J1130" s="10"/>
      <c r="K1130" s="3"/>
      <c r="L1130" s="3"/>
      <c r="M1130" s="5"/>
      <c r="U1130" s="5"/>
      <c r="V1130" s="5"/>
      <c r="W1130" s="5"/>
      <c r="X1130" s="5"/>
      <c r="Y1130" s="5"/>
      <c r="Z1130" s="5"/>
      <c r="AA1130" s="5"/>
      <c r="AB1130" s="5"/>
      <c r="AC1130" s="5"/>
      <c r="AD1130" s="5"/>
      <c r="AE1130" s="5"/>
      <c r="AF1130" s="5"/>
      <c r="AG1130" s="5"/>
      <c r="AH1130" s="5"/>
    </row>
    <row r="1131" spans="1:53" ht="17.25" customHeight="1" x14ac:dyDescent="0.2">
      <c r="A1131" s="10"/>
      <c r="B1131" s="10"/>
      <c r="C1131" s="10"/>
      <c r="D1131" s="10"/>
      <c r="E1131" s="10"/>
      <c r="F1131" s="10"/>
      <c r="G1131" s="10"/>
      <c r="H1131" s="10"/>
      <c r="I1131" s="10"/>
      <c r="J1131" s="10"/>
      <c r="K1131" s="3"/>
      <c r="L1131" s="3"/>
      <c r="M1131" s="5"/>
      <c r="U1131" s="5"/>
      <c r="V1131" s="5"/>
      <c r="W1131" s="5"/>
      <c r="X1131" s="5"/>
      <c r="Y1131" s="5"/>
      <c r="Z1131" s="5"/>
      <c r="AA1131" s="5"/>
      <c r="AB1131" s="5"/>
      <c r="AC1131" s="5"/>
      <c r="AD1131" s="5"/>
      <c r="AE1131" s="5"/>
      <c r="AF1131" s="5"/>
      <c r="AG1131" s="5"/>
      <c r="AH1131" s="5"/>
    </row>
    <row r="1132" spans="1:53" ht="17.25" customHeight="1" x14ac:dyDescent="0.2">
      <c r="A1132" s="10"/>
      <c r="B1132" s="10"/>
      <c r="C1132" s="10"/>
      <c r="D1132" s="10"/>
      <c r="E1132" s="10"/>
      <c r="F1132" s="10"/>
      <c r="G1132" s="10"/>
      <c r="H1132" s="10"/>
      <c r="I1132" s="10"/>
      <c r="J1132" s="10"/>
      <c r="K1132" s="3"/>
      <c r="L1132" s="3"/>
      <c r="M1132" s="5"/>
      <c r="U1132" s="5"/>
      <c r="V1132" s="5"/>
      <c r="W1132" s="5"/>
      <c r="X1132" s="5"/>
      <c r="Y1132" s="5"/>
      <c r="Z1132" s="5"/>
      <c r="AA1132" s="5"/>
      <c r="AB1132" s="5"/>
      <c r="AC1132" s="5"/>
      <c r="AD1132" s="5"/>
      <c r="AE1132" s="5"/>
      <c r="AF1132" s="5"/>
      <c r="AG1132" s="5"/>
      <c r="AH1132" s="5"/>
    </row>
    <row r="1133" spans="1:53" ht="17.25" customHeight="1" x14ac:dyDescent="0.2">
      <c r="A1133" s="10"/>
      <c r="B1133" s="10"/>
      <c r="C1133" s="10"/>
      <c r="D1133" s="10"/>
      <c r="E1133" s="10"/>
      <c r="F1133" s="10"/>
      <c r="G1133" s="10"/>
      <c r="H1133" s="10"/>
      <c r="I1133" s="10"/>
      <c r="J1133" s="10"/>
      <c r="K1133" s="3"/>
      <c r="L1133" s="3"/>
      <c r="M1133" s="10"/>
      <c r="U1133" s="5"/>
      <c r="V1133" s="5"/>
      <c r="W1133" s="5"/>
      <c r="X1133" s="5"/>
      <c r="Y1133" s="5"/>
      <c r="Z1133" s="5"/>
      <c r="AA1133" s="5"/>
      <c r="AB1133" s="5"/>
      <c r="AC1133" s="5"/>
      <c r="AD1133" s="5"/>
      <c r="AE1133" s="5"/>
      <c r="AF1133" s="5"/>
      <c r="AG1133" s="5"/>
      <c r="AH1133" s="5"/>
    </row>
    <row r="1134" spans="1:53" ht="17.25" customHeight="1" x14ac:dyDescent="0.2">
      <c r="A1134" s="10"/>
      <c r="B1134" s="10"/>
      <c r="C1134" s="10"/>
      <c r="D1134" s="10"/>
      <c r="E1134" s="10"/>
      <c r="F1134" s="10"/>
      <c r="G1134" s="10"/>
      <c r="H1134" s="10"/>
      <c r="I1134" s="3"/>
      <c r="J1134" s="3"/>
      <c r="K1134" s="3"/>
      <c r="L1134" s="3"/>
      <c r="M1134" s="10"/>
      <c r="N1134" s="187"/>
      <c r="O1134" s="241"/>
      <c r="P1134" s="188"/>
      <c r="U1134" s="5"/>
      <c r="V1134" s="5"/>
      <c r="W1134" s="5"/>
      <c r="X1134" s="5"/>
      <c r="Y1134" s="5"/>
      <c r="Z1134" s="5"/>
      <c r="AA1134" s="5"/>
      <c r="AB1134" s="5"/>
      <c r="AC1134" s="5"/>
      <c r="AD1134" s="5"/>
      <c r="AE1134" s="5"/>
      <c r="AF1134" s="5"/>
      <c r="AG1134" s="5"/>
      <c r="AH1134" s="5"/>
    </row>
    <row r="1135" spans="1:53" ht="17.25" customHeight="1" x14ac:dyDescent="0.2">
      <c r="A1135" s="10"/>
      <c r="B1135" s="10"/>
      <c r="C1135" s="10"/>
      <c r="D1135" s="10"/>
      <c r="E1135" s="10"/>
      <c r="F1135" s="10"/>
      <c r="G1135" s="10"/>
      <c r="H1135" s="10"/>
      <c r="I1135" s="3"/>
      <c r="J1135" s="3"/>
      <c r="K1135" s="3"/>
      <c r="L1135" s="3"/>
      <c r="M1135" s="10"/>
      <c r="N1135" s="187"/>
      <c r="O1135" s="241"/>
      <c r="P1135" s="188"/>
      <c r="U1135" s="5"/>
      <c r="V1135" s="5"/>
      <c r="W1135" s="5"/>
      <c r="X1135" s="5"/>
      <c r="Y1135" s="5"/>
      <c r="Z1135" s="5"/>
      <c r="AA1135" s="5"/>
      <c r="AB1135" s="5"/>
      <c r="AC1135" s="5"/>
      <c r="AD1135" s="5"/>
      <c r="AE1135" s="5"/>
      <c r="AF1135" s="5"/>
      <c r="AG1135" s="5"/>
      <c r="AH1135" s="5"/>
    </row>
    <row r="1136" spans="1:53" ht="17.25" customHeight="1" x14ac:dyDescent="0.2">
      <c r="A1136" s="10"/>
      <c r="B1136" s="10"/>
      <c r="C1136" s="10"/>
      <c r="D1136" s="10"/>
      <c r="E1136" s="10"/>
      <c r="F1136" s="10"/>
      <c r="G1136" s="10"/>
      <c r="H1136" s="10"/>
      <c r="I1136" s="3"/>
      <c r="J1136" s="3"/>
      <c r="K1136" s="3"/>
      <c r="L1136" s="3"/>
      <c r="M1136" s="10"/>
      <c r="N1136" s="187"/>
      <c r="O1136" s="241"/>
      <c r="P1136" s="188"/>
      <c r="U1136" s="5"/>
      <c r="V1136" s="5"/>
      <c r="W1136" s="5"/>
      <c r="X1136" s="5"/>
      <c r="Y1136" s="5"/>
      <c r="Z1136" s="5"/>
      <c r="AA1136" s="5"/>
      <c r="AB1136" s="5"/>
      <c r="AC1136" s="5"/>
      <c r="AD1136" s="5"/>
      <c r="AE1136" s="5"/>
      <c r="AF1136" s="5"/>
      <c r="AG1136" s="5"/>
      <c r="AH1136" s="5"/>
    </row>
    <row r="1137" spans="1:34" ht="17.25" customHeight="1" x14ac:dyDescent="0.2">
      <c r="A1137" s="10"/>
      <c r="B1137" s="10"/>
      <c r="C1137" s="10"/>
      <c r="D1137" s="10"/>
      <c r="E1137" s="10"/>
      <c r="F1137" s="10"/>
      <c r="G1137" s="10"/>
      <c r="H1137" s="10"/>
      <c r="I1137" s="3"/>
      <c r="J1137" s="3"/>
      <c r="K1137" s="3"/>
      <c r="L1137" s="3"/>
      <c r="M1137" s="10"/>
      <c r="N1137" s="187"/>
      <c r="O1137" s="241"/>
      <c r="P1137" s="188"/>
      <c r="U1137" s="5"/>
      <c r="V1137" s="5"/>
      <c r="W1137" s="5"/>
      <c r="X1137" s="5"/>
      <c r="Y1137" s="5"/>
      <c r="Z1137" s="5"/>
      <c r="AA1137" s="5"/>
      <c r="AB1137" s="5"/>
      <c r="AC1137" s="5"/>
      <c r="AD1137" s="5"/>
      <c r="AE1137" s="5"/>
      <c r="AF1137" s="5"/>
      <c r="AG1137" s="5"/>
      <c r="AH1137" s="5"/>
    </row>
    <row r="1156" spans="1:1" x14ac:dyDescent="0.2">
      <c r="A1156" s="13" t="s">
        <v>528</v>
      </c>
    </row>
    <row r="1157" spans="1:1" x14ac:dyDescent="0.2">
      <c r="A1157" s="9" t="s">
        <v>530</v>
      </c>
    </row>
    <row r="1158" spans="1:1" x14ac:dyDescent="0.2">
      <c r="A1158" s="9" t="s">
        <v>531</v>
      </c>
    </row>
    <row r="1159" spans="1:1" x14ac:dyDescent="0.2">
      <c r="A1159" s="9" t="s">
        <v>532</v>
      </c>
    </row>
    <row r="1160" spans="1:1" x14ac:dyDescent="0.2">
      <c r="A1160" s="9" t="s">
        <v>533</v>
      </c>
    </row>
    <row r="1172" spans="1:13" x14ac:dyDescent="0.2">
      <c r="A1172" s="9" t="s">
        <v>548</v>
      </c>
      <c r="C1172" s="9" t="s">
        <v>551</v>
      </c>
    </row>
    <row r="1173" spans="1:13" x14ac:dyDescent="0.2">
      <c r="C1173" s="28" t="s">
        <v>549</v>
      </c>
      <c r="D1173" s="215">
        <f>(MAX(G1180:H1181)*100)/33</f>
        <v>9.8484848484848477</v>
      </c>
    </row>
    <row r="1174" spans="1:13" x14ac:dyDescent="0.2">
      <c r="C1174" s="9" t="s">
        <v>552</v>
      </c>
    </row>
    <row r="1175" spans="1:13" x14ac:dyDescent="0.2">
      <c r="C1175" s="28" t="s">
        <v>550</v>
      </c>
      <c r="D1175" s="216">
        <v>10</v>
      </c>
    </row>
    <row r="1176" spans="1:13" x14ac:dyDescent="0.2">
      <c r="A1176" s="9" t="s">
        <v>553</v>
      </c>
    </row>
    <row r="1177" spans="1:13" x14ac:dyDescent="0.2">
      <c r="C1177" s="28" t="s">
        <v>554</v>
      </c>
      <c r="D1177" s="208">
        <v>15</v>
      </c>
    </row>
    <row r="1178" spans="1:13" x14ac:dyDescent="0.2">
      <c r="A1178" s="9" t="s">
        <v>555</v>
      </c>
    </row>
    <row r="1179" spans="1:13" x14ac:dyDescent="0.2">
      <c r="F1179" s="9" t="s">
        <v>534</v>
      </c>
    </row>
    <row r="1180" spans="1:13" x14ac:dyDescent="0.2">
      <c r="F1180" s="28" t="s">
        <v>536</v>
      </c>
      <c r="G1180" s="319">
        <v>3.25</v>
      </c>
      <c r="H1180" s="319"/>
      <c r="I1180" s="9" t="s">
        <v>538</v>
      </c>
    </row>
    <row r="1181" spans="1:13" x14ac:dyDescent="0.2">
      <c r="F1181" s="28" t="s">
        <v>535</v>
      </c>
      <c r="G1181" s="319">
        <v>1.7</v>
      </c>
      <c r="H1181" s="319"/>
      <c r="I1181" s="9" t="s">
        <v>537</v>
      </c>
    </row>
    <row r="1182" spans="1:13" x14ac:dyDescent="0.2">
      <c r="F1182" s="25" t="s">
        <v>539</v>
      </c>
      <c r="G1182" s="9" t="s">
        <v>541</v>
      </c>
    </row>
    <row r="1183" spans="1:13" x14ac:dyDescent="0.2">
      <c r="G1183" s="10"/>
      <c r="H1183" s="28" t="s">
        <v>540</v>
      </c>
      <c r="I1183" s="215">
        <f>(MAX(G1180:H1181)*100)/180</f>
        <v>1.8055555555555556</v>
      </c>
    </row>
    <row r="1184" spans="1:13" x14ac:dyDescent="0.2">
      <c r="F1184" s="10"/>
      <c r="G1184" s="10"/>
      <c r="H1184" s="10"/>
      <c r="I1184" s="10"/>
      <c r="J1184" s="10"/>
      <c r="K1184" s="10"/>
      <c r="L1184" s="10"/>
      <c r="M1184" s="10"/>
    </row>
    <row r="1185" spans="6:13" x14ac:dyDescent="0.2">
      <c r="F1185" s="10"/>
      <c r="G1185" s="10"/>
      <c r="H1185" s="10"/>
      <c r="I1185" s="10"/>
      <c r="J1185" s="10"/>
      <c r="K1185" s="10"/>
      <c r="L1185" s="10"/>
      <c r="M1185" s="10"/>
    </row>
    <row r="1187" spans="6:13" x14ac:dyDescent="0.2">
      <c r="F1187" s="10"/>
      <c r="G1187" s="10"/>
      <c r="H1187" s="10"/>
      <c r="I1187" s="10"/>
      <c r="J1187" s="10"/>
      <c r="K1187" s="10"/>
      <c r="L1187" s="10"/>
      <c r="M1187" s="10"/>
    </row>
    <row r="1188" spans="6:13" x14ac:dyDescent="0.2">
      <c r="F1188" s="10"/>
      <c r="G1188" s="10"/>
      <c r="H1188" s="10"/>
      <c r="I1188" s="10"/>
      <c r="J1188" s="10"/>
      <c r="K1188" s="10"/>
      <c r="L1188" s="10"/>
      <c r="M1188" s="10"/>
    </row>
    <row r="1207" spans="1:4" x14ac:dyDescent="0.2">
      <c r="A1207" s="25" t="s">
        <v>542</v>
      </c>
      <c r="B1207" s="9" t="s">
        <v>543</v>
      </c>
    </row>
    <row r="1208" spans="1:4" x14ac:dyDescent="0.2">
      <c r="B1208" s="9" t="s">
        <v>544</v>
      </c>
      <c r="C1208" s="10"/>
      <c r="D1208" s="10"/>
    </row>
    <row r="1209" spans="1:4" x14ac:dyDescent="0.2">
      <c r="B1209" s="28" t="s">
        <v>540</v>
      </c>
      <c r="C1209" s="215">
        <f>(MAX(G1180:H1181)*100)/240</f>
        <v>1.3541666666666667</v>
      </c>
    </row>
    <row r="1234" spans="1:25" x14ac:dyDescent="0.2">
      <c r="A1234" s="9" t="s">
        <v>545</v>
      </c>
    </row>
    <row r="1235" spans="1:25" x14ac:dyDescent="0.2">
      <c r="A1235" s="25" t="s">
        <v>546</v>
      </c>
      <c r="B1235" s="208">
        <f>I1183</f>
        <v>1.8055555555555556</v>
      </c>
      <c r="C1235" s="73" t="str">
        <f>IF(B1235&lt;D1235,"&lt;","≥")</f>
        <v>≥</v>
      </c>
      <c r="D1235" s="217">
        <f>0.0018</f>
        <v>1.8E-3</v>
      </c>
      <c r="E1235" s="218" t="s">
        <v>490</v>
      </c>
      <c r="F1235" s="27" t="str">
        <f>IF(B1235&lt;D1235,": AUMENTAR EL ESPESOR DE LA LOSA",": OK!!!")</f>
        <v>: OK!!!</v>
      </c>
    </row>
    <row r="1236" spans="1:25" x14ac:dyDescent="0.2">
      <c r="A1236" s="25" t="s">
        <v>547</v>
      </c>
      <c r="B1236" s="208">
        <f>C1209</f>
        <v>1.3541666666666667</v>
      </c>
      <c r="C1236" s="73" t="str">
        <f>IF(B1236&lt;D1236,"&lt;","≥")</f>
        <v>≥</v>
      </c>
      <c r="D1236" s="217">
        <f>0.01288</f>
        <v>1.2880000000000001E-2</v>
      </c>
      <c r="E1236" s="218" t="s">
        <v>490</v>
      </c>
      <c r="F1236" s="27" t="str">
        <f>IF(B1236&lt;D1236,": AUMENTAR EL ESPESOR DE LA LOSA",": OK!!!")</f>
        <v>: OK!!!</v>
      </c>
    </row>
    <row r="1240" spans="1:25" s="3" customFormat="1" ht="17.25" customHeight="1" x14ac:dyDescent="0.2">
      <c r="A1240" s="117" t="s">
        <v>556</v>
      </c>
      <c r="O1240" s="232"/>
      <c r="U1240" s="104"/>
      <c r="V1240" s="43"/>
      <c r="X1240" s="90"/>
      <c r="Y1240" s="90"/>
    </row>
    <row r="1241" spans="1:25" s="9" customFormat="1" ht="17.25" customHeight="1" x14ac:dyDescent="0.2">
      <c r="A1241" s="9" t="s">
        <v>4</v>
      </c>
      <c r="I1241" s="28"/>
      <c r="O1241" s="179"/>
      <c r="R1241" s="9">
        <f>0.85*0.53*SQRT(210)*100*25</f>
        <v>16320.913060395853</v>
      </c>
      <c r="T1241" s="9">
        <f>R1241/1000</f>
        <v>16.320913060395853</v>
      </c>
    </row>
    <row r="1242" spans="1:25" s="9" customFormat="1" ht="17.25" customHeight="1" x14ac:dyDescent="0.2">
      <c r="I1242" s="28"/>
      <c r="O1242" s="179"/>
    </row>
    <row r="1243" spans="1:25" s="9" customFormat="1" ht="17.25" customHeight="1" x14ac:dyDescent="0.2">
      <c r="B1243" s="28" t="s">
        <v>126</v>
      </c>
      <c r="C1243" s="213">
        <v>0.95399999999999996</v>
      </c>
      <c r="D1243" s="9" t="s">
        <v>497</v>
      </c>
      <c r="I1243" s="28"/>
      <c r="O1243" s="179"/>
    </row>
    <row r="1244" spans="1:25" s="9" customFormat="1" ht="17.25" customHeight="1" x14ac:dyDescent="0.2">
      <c r="B1244" s="28" t="s">
        <v>208</v>
      </c>
      <c r="C1244" s="172">
        <v>15</v>
      </c>
      <c r="D1244" s="9" t="s">
        <v>212</v>
      </c>
      <c r="I1244" s="28"/>
      <c r="O1244" s="179"/>
      <c r="P1244" s="40"/>
      <c r="Q1244" s="40"/>
      <c r="R1244" s="40"/>
      <c r="S1244" s="40"/>
      <c r="T1244" s="40"/>
    </row>
    <row r="1245" spans="1:25" s="9" customFormat="1" ht="17.25" customHeight="1" x14ac:dyDescent="0.2">
      <c r="B1245" s="28" t="s">
        <v>209</v>
      </c>
      <c r="C1245" s="249">
        <v>4</v>
      </c>
      <c r="D1245" s="9" t="s">
        <v>211</v>
      </c>
      <c r="I1245" s="28"/>
      <c r="O1245" s="179"/>
      <c r="P1245" s="40"/>
      <c r="Q1245" s="40"/>
      <c r="R1245" s="40"/>
      <c r="S1245" s="40"/>
      <c r="T1245" s="40"/>
    </row>
    <row r="1246" spans="1:25" s="9" customFormat="1" ht="17.25" customHeight="1" x14ac:dyDescent="0.2">
      <c r="B1246" s="28" t="s">
        <v>96</v>
      </c>
      <c r="C1246" s="74">
        <f>$B$76</f>
        <v>210</v>
      </c>
      <c r="D1246" s="9" t="s">
        <v>97</v>
      </c>
      <c r="I1246" s="28"/>
      <c r="O1246" s="179"/>
      <c r="R1246" s="40"/>
      <c r="S1246" s="40"/>
      <c r="T1246" s="40"/>
    </row>
    <row r="1247" spans="1:25" s="9" customFormat="1" ht="17.25" customHeight="1" x14ac:dyDescent="0.2">
      <c r="B1247" s="28" t="s">
        <v>105</v>
      </c>
      <c r="C1247" s="74">
        <f>$B$78</f>
        <v>4200</v>
      </c>
      <c r="D1247" s="3" t="s">
        <v>106</v>
      </c>
      <c r="E1247" s="3"/>
      <c r="F1247" s="3"/>
      <c r="G1247" s="3"/>
      <c r="I1247" s="28"/>
      <c r="O1247" s="179"/>
      <c r="P1247" s="9" t="s">
        <v>78</v>
      </c>
      <c r="R1247" s="40"/>
      <c r="S1247" s="40"/>
      <c r="T1247" s="40"/>
    </row>
    <row r="1248" spans="1:25" s="9" customFormat="1" ht="17.25" customHeight="1" x14ac:dyDescent="0.2">
      <c r="A1248" s="282" t="s">
        <v>79</v>
      </c>
      <c r="B1248" s="282"/>
      <c r="C1248" s="173">
        <v>0.9</v>
      </c>
      <c r="D1248" s="9" t="s">
        <v>93</v>
      </c>
      <c r="O1248" s="179"/>
    </row>
    <row r="1249" spans="1:52" s="9" customFormat="1" ht="17.25" customHeight="1" x14ac:dyDescent="0.2">
      <c r="A1249" s="282" t="s">
        <v>80</v>
      </c>
      <c r="B1249" s="282"/>
      <c r="C1249" s="172">
        <v>100</v>
      </c>
      <c r="D1249" s="9" t="s">
        <v>182</v>
      </c>
      <c r="N1249" s="28" t="s">
        <v>5</v>
      </c>
      <c r="O1249" s="283">
        <f>C1248*C1246*C1249*C1250^2</f>
        <v>2286900</v>
      </c>
      <c r="P1249" s="284"/>
      <c r="Q1249" s="284"/>
      <c r="R1249" s="285"/>
    </row>
    <row r="1250" spans="1:52" s="9" customFormat="1" ht="17.25" customHeight="1" x14ac:dyDescent="0.2">
      <c r="A1250" s="282" t="s">
        <v>81</v>
      </c>
      <c r="B1250" s="282"/>
      <c r="C1250" s="76">
        <f>C1244-C1245</f>
        <v>11</v>
      </c>
      <c r="D1250" s="9" t="s">
        <v>210</v>
      </c>
      <c r="I1250" s="77"/>
      <c r="N1250" s="28" t="s">
        <v>82</v>
      </c>
      <c r="O1250" s="283">
        <f>C1253*100</f>
        <v>124020</v>
      </c>
      <c r="P1250" s="284"/>
      <c r="Q1250" s="284"/>
      <c r="R1250" s="285"/>
      <c r="W1250" s="9" t="s">
        <v>83</v>
      </c>
    </row>
    <row r="1251" spans="1:52" s="9" customFormat="1" ht="17.25" customHeight="1" x14ac:dyDescent="0.2">
      <c r="A1251" s="282" t="s">
        <v>95</v>
      </c>
      <c r="B1251" s="282"/>
      <c r="C1251" s="8" t="s">
        <v>84</v>
      </c>
      <c r="D1251" s="9" t="s">
        <v>94</v>
      </c>
      <c r="O1251" s="179"/>
    </row>
    <row r="1252" spans="1:52" s="9" customFormat="1" ht="17.25" customHeight="1" x14ac:dyDescent="0.2">
      <c r="C1252" s="8"/>
      <c r="O1252" s="179"/>
    </row>
    <row r="1253" spans="1:52" s="9" customFormat="1" ht="17.25" customHeight="1" x14ac:dyDescent="0.2">
      <c r="A1253" s="9" t="s">
        <v>85</v>
      </c>
      <c r="B1253" s="25" t="s">
        <v>86</v>
      </c>
      <c r="C1253" s="267">
        <f>C1243*1000*1.3</f>
        <v>1240.2</v>
      </c>
      <c r="D1253" s="267" t="s">
        <v>87</v>
      </c>
      <c r="E1253" s="9" t="s">
        <v>92</v>
      </c>
      <c r="I1253" s="9" t="s">
        <v>88</v>
      </c>
      <c r="K1253" s="28" t="s">
        <v>89</v>
      </c>
      <c r="L1253" s="79">
        <f>(O1249+((O1249)^2-2.36*O1249*O1250)^(1/2))/(1.18*O1249)</f>
        <v>1.6388286704934332</v>
      </c>
      <c r="O1253" s="179"/>
    </row>
    <row r="1254" spans="1:52" s="9" customFormat="1" ht="17.25" customHeight="1" x14ac:dyDescent="0.2">
      <c r="B1254" s="25"/>
      <c r="C1254" s="220"/>
      <c r="D1254" s="220"/>
      <c r="K1254" s="28"/>
      <c r="L1254" s="79"/>
      <c r="O1254" s="179"/>
    </row>
    <row r="1255" spans="1:52" s="9" customFormat="1" ht="17.25" customHeight="1" thickBot="1" x14ac:dyDescent="0.25">
      <c r="B1255" s="25"/>
      <c r="K1255" s="28" t="s">
        <v>90</v>
      </c>
      <c r="L1255" s="79">
        <f>(O1249-((O1249)^2-2.36*O1249*O1250)^(1/2))/(1.18*O1249)</f>
        <v>5.608658374385473E-2</v>
      </c>
      <c r="O1255" s="179"/>
    </row>
    <row r="1256" spans="1:52" s="3" customFormat="1" ht="17.25" customHeight="1" x14ac:dyDescent="0.2">
      <c r="A1256" s="3" t="s">
        <v>91</v>
      </c>
      <c r="E1256" s="51" t="s">
        <v>107</v>
      </c>
      <c r="F1256" s="80" t="s">
        <v>98</v>
      </c>
      <c r="H1256" s="69" t="str">
        <f>"======&gt;"</f>
        <v>======&gt;</v>
      </c>
      <c r="I1256" s="39" t="s">
        <v>104</v>
      </c>
      <c r="J1256" s="81">
        <f>MIN(L1253:L1255)*C1246/C1247</f>
        <v>2.8043291871927365E-3</v>
      </c>
      <c r="O1256" s="232"/>
      <c r="AZ1256" s="44"/>
    </row>
    <row r="1257" spans="1:52" s="3" customFormat="1" ht="17.25" customHeight="1" thickBot="1" x14ac:dyDescent="0.25">
      <c r="E1257" s="37"/>
      <c r="F1257" s="53" t="s">
        <v>62</v>
      </c>
      <c r="G1257" s="43"/>
      <c r="M1257" s="5"/>
      <c r="N1257" s="99" t="s">
        <v>165</v>
      </c>
      <c r="O1257" s="239" t="s">
        <v>166</v>
      </c>
      <c r="P1257" s="100" t="s">
        <v>167</v>
      </c>
      <c r="Q1257" s="5"/>
      <c r="R1257" s="5"/>
      <c r="S1257" s="5"/>
      <c r="T1257" s="5"/>
      <c r="U1257" s="5"/>
      <c r="V1257" s="5"/>
      <c r="W1257" s="5"/>
      <c r="X1257" s="5"/>
      <c r="Y1257" s="5"/>
      <c r="Z1257" s="5"/>
      <c r="AA1257" s="5"/>
      <c r="AB1257" s="5"/>
      <c r="AC1257" s="5"/>
      <c r="AD1257" s="5"/>
      <c r="AE1257" s="5"/>
      <c r="AF1257" s="5"/>
      <c r="AG1257" s="5"/>
      <c r="AH1257" s="5"/>
      <c r="AZ1257" s="44"/>
    </row>
    <row r="1258" spans="1:52" s="3" customFormat="1" ht="17.25" customHeight="1" thickBot="1" x14ac:dyDescent="0.25">
      <c r="E1258" s="43"/>
      <c r="F1258" s="43"/>
      <c r="G1258" s="43"/>
      <c r="M1258" s="5"/>
      <c r="N1258" s="101">
        <v>0.375</v>
      </c>
      <c r="O1258" s="240">
        <v>0.71</v>
      </c>
      <c r="P1258" s="102">
        <v>0.95</v>
      </c>
      <c r="Q1258" s="5"/>
      <c r="R1258" s="5"/>
      <c r="S1258" s="5"/>
      <c r="T1258" s="5"/>
      <c r="U1258" s="5"/>
      <c r="V1258" s="5"/>
      <c r="W1258" s="5"/>
      <c r="X1258" s="5"/>
      <c r="Y1258" s="5"/>
      <c r="Z1258" s="5"/>
      <c r="AA1258" s="5"/>
      <c r="AB1258" s="5"/>
      <c r="AC1258" s="5"/>
      <c r="AD1258" s="5"/>
      <c r="AE1258" s="5"/>
      <c r="AF1258" s="5"/>
      <c r="AG1258" s="5"/>
      <c r="AH1258" s="5"/>
      <c r="AZ1258" s="44"/>
    </row>
    <row r="1259" spans="1:52" s="9" customFormat="1" ht="17.25" customHeight="1" thickBot="1" x14ac:dyDescent="0.25">
      <c r="A1259" s="3" t="s">
        <v>99</v>
      </c>
      <c r="B1259" s="28"/>
      <c r="C1259" s="78"/>
      <c r="E1259" s="68" t="s">
        <v>108</v>
      </c>
      <c r="F1259" s="70" t="s">
        <v>100</v>
      </c>
      <c r="H1259" s="69" t="str">
        <f>"======&gt;"</f>
        <v>======&gt;</v>
      </c>
      <c r="I1259" s="39" t="s">
        <v>109</v>
      </c>
      <c r="J1259" s="82">
        <f>J1256*C1250*C1249</f>
        <v>3.0847621059120103</v>
      </c>
      <c r="N1259" s="101">
        <v>0.5</v>
      </c>
      <c r="O1259" s="240">
        <v>1.27</v>
      </c>
      <c r="P1259" s="102">
        <v>1.27</v>
      </c>
    </row>
    <row r="1260" spans="1:52" s="3" customFormat="1" ht="17.25" customHeight="1" thickBot="1" x14ac:dyDescent="0.25">
      <c r="M1260" s="5"/>
      <c r="N1260" s="101">
        <v>0.625</v>
      </c>
      <c r="O1260" s="240">
        <v>1.98</v>
      </c>
      <c r="P1260" s="102">
        <v>1.59</v>
      </c>
      <c r="Q1260" s="5"/>
      <c r="R1260" s="5"/>
      <c r="S1260" s="5"/>
      <c r="T1260" s="5"/>
      <c r="U1260" s="5"/>
      <c r="V1260" s="5"/>
      <c r="W1260" s="5"/>
      <c r="X1260" s="5"/>
      <c r="Y1260" s="5"/>
      <c r="Z1260" s="5"/>
      <c r="AA1260" s="5"/>
      <c r="AB1260" s="5"/>
      <c r="AC1260" s="5"/>
      <c r="AD1260" s="5"/>
      <c r="AE1260" s="5"/>
      <c r="AF1260" s="5"/>
      <c r="AG1260" s="5"/>
      <c r="AH1260" s="5"/>
      <c r="AZ1260" s="44"/>
    </row>
    <row r="1261" spans="1:52" s="3" customFormat="1" ht="17.25" customHeight="1" x14ac:dyDescent="0.2">
      <c r="E1261" s="51" t="s">
        <v>110</v>
      </c>
      <c r="F1261" s="80" t="s">
        <v>102</v>
      </c>
      <c r="H1261" s="69" t="str">
        <f>"======&gt;"</f>
        <v>======&gt;</v>
      </c>
      <c r="I1261" s="39" t="s">
        <v>111</v>
      </c>
      <c r="J1261" s="82">
        <f>14*C1250*C1249/C1247</f>
        <v>3.6666666666666665</v>
      </c>
      <c r="M1261" s="5"/>
      <c r="N1261" s="101">
        <v>0.75</v>
      </c>
      <c r="O1261" s="240">
        <v>2.85</v>
      </c>
      <c r="P1261" s="102">
        <v>1.91</v>
      </c>
      <c r="Y1261" s="5"/>
      <c r="Z1261" s="5"/>
      <c r="AA1261" s="5"/>
      <c r="AB1261" s="5"/>
      <c r="AC1261" s="5"/>
      <c r="AD1261" s="5"/>
      <c r="AE1261" s="5"/>
      <c r="AF1261" s="5"/>
      <c r="AG1261" s="5"/>
      <c r="AH1261" s="5"/>
      <c r="AZ1261" s="44"/>
    </row>
    <row r="1262" spans="1:52" s="3" customFormat="1" ht="17.25" customHeight="1" thickBot="1" x14ac:dyDescent="0.25">
      <c r="A1262" s="3" t="s">
        <v>101</v>
      </c>
      <c r="E1262" s="37"/>
      <c r="F1262" s="53" t="s">
        <v>62</v>
      </c>
      <c r="M1262" s="5"/>
      <c r="N1262" s="101">
        <v>1</v>
      </c>
      <c r="O1262" s="240">
        <v>5.07</v>
      </c>
      <c r="P1262" s="102">
        <v>2.54</v>
      </c>
      <c r="X1262" s="5"/>
      <c r="Y1262" s="5"/>
      <c r="Z1262" s="5"/>
      <c r="AA1262" s="5"/>
      <c r="AB1262" s="5"/>
      <c r="AC1262" s="5"/>
      <c r="AD1262" s="5"/>
      <c r="AE1262" s="5"/>
      <c r="AF1262" s="5"/>
      <c r="AG1262" s="5"/>
      <c r="AH1262" s="5"/>
      <c r="AZ1262" s="44"/>
    </row>
    <row r="1263" spans="1:52" s="3" customFormat="1" ht="17.25" customHeight="1" thickBot="1" x14ac:dyDescent="0.25">
      <c r="G1263" s="43"/>
      <c r="M1263" s="5"/>
      <c r="N1263" s="101">
        <v>1.125</v>
      </c>
      <c r="O1263" s="240">
        <v>6.45</v>
      </c>
      <c r="P1263" s="108">
        <f>N1263*2.54</f>
        <v>2.8574999999999999</v>
      </c>
      <c r="X1263" s="5"/>
      <c r="Y1263" s="5"/>
      <c r="Z1263" s="5"/>
      <c r="AA1263" s="5"/>
      <c r="AB1263" s="5"/>
      <c r="AC1263" s="5"/>
      <c r="AD1263" s="5"/>
      <c r="AE1263" s="5"/>
      <c r="AF1263" s="5"/>
      <c r="AG1263" s="5"/>
      <c r="AH1263" s="5"/>
      <c r="AZ1263" s="44"/>
    </row>
    <row r="1264" spans="1:52" s="3" customFormat="1" ht="17.25" customHeight="1" thickBot="1" x14ac:dyDescent="0.25">
      <c r="B1264" s="13" t="s">
        <v>103</v>
      </c>
      <c r="E1264" s="180" t="s">
        <v>113</v>
      </c>
      <c r="F1264" s="270">
        <f>MAX(J1259,J1261)</f>
        <v>3.6666666666666665</v>
      </c>
      <c r="G1264" s="271"/>
      <c r="J1264" s="5"/>
      <c r="M1264" s="5"/>
      <c r="N1264" s="101">
        <v>1.25</v>
      </c>
      <c r="O1264" s="240">
        <v>8.19</v>
      </c>
      <c r="P1264" s="108">
        <f>N1264*2.54</f>
        <v>3.1749999999999998</v>
      </c>
      <c r="V1264" s="5"/>
      <c r="W1264" s="5"/>
      <c r="X1264" s="5"/>
      <c r="Y1264" s="5"/>
      <c r="Z1264" s="5"/>
      <c r="AA1264" s="5"/>
      <c r="AB1264" s="5"/>
      <c r="AC1264" s="5"/>
      <c r="AD1264" s="5"/>
      <c r="AE1264" s="5"/>
      <c r="AF1264" s="5"/>
      <c r="AG1264" s="5"/>
      <c r="AH1264" s="5"/>
      <c r="AZ1264" s="44"/>
    </row>
    <row r="1265" spans="1:53" s="9" customFormat="1" ht="17.25" customHeight="1" x14ac:dyDescent="0.2">
      <c r="B1265" s="28"/>
      <c r="C1265" s="78"/>
      <c r="N1265" s="101">
        <v>1.375</v>
      </c>
      <c r="O1265" s="240">
        <v>9.58</v>
      </c>
      <c r="P1265" s="102">
        <v>3.49</v>
      </c>
    </row>
    <row r="1266" spans="1:53" ht="17.25" customHeight="1" x14ac:dyDescent="0.2">
      <c r="A1266" s="13" t="s">
        <v>172</v>
      </c>
      <c r="B1266" s="5"/>
      <c r="C1266" s="5"/>
      <c r="D1266" s="5"/>
      <c r="J1266" s="5"/>
      <c r="K1266" s="5"/>
      <c r="L1266" s="5"/>
      <c r="M1266" s="5"/>
      <c r="N1266" s="5"/>
      <c r="O1266" s="238"/>
      <c r="P1266" s="5"/>
      <c r="Q1266" s="5"/>
      <c r="R1266" s="5"/>
      <c r="S1266" s="5"/>
      <c r="T1266" s="5"/>
      <c r="U1266" s="5"/>
      <c r="V1266" s="5"/>
      <c r="W1266" s="5"/>
      <c r="X1266" s="5"/>
      <c r="Y1266" s="5"/>
      <c r="Z1266" s="5"/>
      <c r="AA1266" s="5"/>
      <c r="AB1266" s="5"/>
      <c r="AC1266" s="5"/>
      <c r="AD1266" s="5"/>
      <c r="AE1266" s="5"/>
      <c r="AF1266" s="5"/>
      <c r="AG1266" s="5"/>
      <c r="AH1266" s="5"/>
    </row>
    <row r="1267" spans="1:53" s="49" customFormat="1" ht="17.25" customHeight="1" thickBot="1" x14ac:dyDescent="0.25">
      <c r="A1267" s="12"/>
      <c r="I1267" s="3"/>
      <c r="J1267" s="3"/>
      <c r="K1267" s="3"/>
      <c r="L1267" s="3"/>
      <c r="M1267" s="8"/>
      <c r="O1267" s="242"/>
      <c r="U1267" s="111"/>
      <c r="V1267" s="111"/>
      <c r="W1267" s="111"/>
      <c r="X1267" s="111"/>
      <c r="Y1267" s="111"/>
      <c r="Z1267" s="111"/>
      <c r="AA1267" s="111"/>
      <c r="AB1267" s="111"/>
      <c r="AC1267" s="111"/>
      <c r="AD1267" s="111"/>
      <c r="AE1267" s="111"/>
      <c r="AF1267" s="111"/>
      <c r="AG1267" s="111"/>
      <c r="AH1267" s="111"/>
    </row>
    <row r="1268" spans="1:53" s="43" customFormat="1" ht="17.25" customHeight="1" x14ac:dyDescent="0.2">
      <c r="A1268" s="112" t="s">
        <v>180</v>
      </c>
      <c r="B1268" s="3"/>
      <c r="C1268" s="165" t="s">
        <v>214</v>
      </c>
      <c r="D1268" s="287" t="s">
        <v>215</v>
      </c>
      <c r="E1268" s="288"/>
      <c r="F1268" s="288"/>
      <c r="G1268" s="288"/>
      <c r="H1268" s="288"/>
      <c r="I1268" s="288"/>
      <c r="J1268" s="289"/>
      <c r="K1268" s="3"/>
      <c r="L1268" s="3"/>
      <c r="M1268" s="3"/>
      <c r="O1268" s="87"/>
      <c r="U1268" s="111"/>
      <c r="AV1268" s="49"/>
      <c r="AW1268" s="49"/>
      <c r="AX1268" s="49"/>
      <c r="AY1268" s="49"/>
      <c r="AZ1268" s="49"/>
      <c r="BA1268" s="49"/>
    </row>
    <row r="1269" spans="1:53" s="43" customFormat="1" ht="17.25" customHeight="1" thickBot="1" x14ac:dyDescent="0.25">
      <c r="C1269" s="219">
        <f>F1264</f>
        <v>3.6666666666666665</v>
      </c>
      <c r="D1269" s="203">
        <f>ROUNDUP(C1269/(VLOOKUP(F1269,$N$889:$P$896,2)),0)</f>
        <v>3</v>
      </c>
      <c r="E1269" s="203" t="s">
        <v>175</v>
      </c>
      <c r="F1269" s="113">
        <v>0.5</v>
      </c>
      <c r="G1269" s="203" t="s">
        <v>176</v>
      </c>
      <c r="H1269" s="203" t="s">
        <v>177</v>
      </c>
      <c r="I1269" s="204">
        <f>1/D1269</f>
        <v>0.33333333333333331</v>
      </c>
      <c r="J1269" s="205" t="s">
        <v>0</v>
      </c>
      <c r="K1269" s="3"/>
      <c r="L1269" s="3"/>
      <c r="M1269" s="5"/>
      <c r="O1269" s="87"/>
      <c r="U1269" s="111"/>
      <c r="AV1269" s="49"/>
      <c r="AW1269" s="49"/>
      <c r="AX1269" s="49"/>
      <c r="AY1269" s="49"/>
      <c r="AZ1269" s="49"/>
      <c r="BA1269" s="49"/>
    </row>
    <row r="1270" spans="1:53" s="43" customFormat="1" ht="17.25" customHeight="1" x14ac:dyDescent="0.2">
      <c r="I1270" s="3"/>
      <c r="J1270" s="3"/>
      <c r="K1270" s="3"/>
      <c r="L1270" s="3"/>
      <c r="M1270" s="111"/>
      <c r="O1270" s="87"/>
      <c r="U1270" s="111"/>
      <c r="AV1270" s="49"/>
      <c r="AW1270" s="49"/>
      <c r="AX1270" s="49"/>
      <c r="AY1270" s="49"/>
      <c r="AZ1270" s="49"/>
      <c r="BA1270" s="49"/>
    </row>
    <row r="1271" spans="1:53" s="43" customFormat="1" ht="17.25" customHeight="1" x14ac:dyDescent="0.2">
      <c r="A1271" s="255" t="s">
        <v>594</v>
      </c>
      <c r="G1271" s="256">
        <f>C877</f>
        <v>0.5</v>
      </c>
      <c r="H1271" s="255" t="s">
        <v>595</v>
      </c>
      <c r="I1271" s="3"/>
      <c r="J1271" s="257">
        <f>H880</f>
        <v>20.201625659526837</v>
      </c>
      <c r="K1271" s="258" t="s">
        <v>596</v>
      </c>
      <c r="L1271" s="3"/>
      <c r="M1271" s="111"/>
      <c r="O1271" s="87"/>
      <c r="U1271" s="111"/>
      <c r="AV1271" s="49"/>
      <c r="AW1271" s="49"/>
      <c r="AX1271" s="49"/>
      <c r="AY1271" s="49"/>
      <c r="AZ1271" s="49"/>
      <c r="BA1271" s="49"/>
    </row>
    <row r="1272" spans="1:53" s="43" customFormat="1" ht="17.25" customHeight="1" x14ac:dyDescent="0.2">
      <c r="A1272" s="254" t="s">
        <v>597</v>
      </c>
      <c r="C1272" s="257">
        <v>20</v>
      </c>
      <c r="I1272" s="3"/>
      <c r="J1272" s="3"/>
      <c r="K1272" s="3"/>
      <c r="L1272" s="3"/>
      <c r="M1272" s="111"/>
      <c r="O1272" s="87"/>
      <c r="U1272" s="111"/>
      <c r="AV1272" s="49"/>
      <c r="AW1272" s="49"/>
      <c r="AX1272" s="49"/>
      <c r="AY1272" s="49"/>
      <c r="AZ1272" s="49"/>
      <c r="BA1272" s="49"/>
    </row>
    <row r="1273" spans="1:53" s="43" customFormat="1" ht="17.25" customHeight="1" x14ac:dyDescent="0.2">
      <c r="I1273" s="3"/>
      <c r="J1273" s="3"/>
      <c r="K1273" s="3"/>
      <c r="L1273" s="3"/>
      <c r="M1273" s="111"/>
      <c r="O1273" s="87"/>
      <c r="U1273" s="111"/>
      <c r="AV1273" s="49"/>
      <c r="AW1273" s="49"/>
      <c r="AX1273" s="49"/>
      <c r="AY1273" s="49"/>
      <c r="AZ1273" s="49"/>
      <c r="BA1273" s="49"/>
    </row>
    <row r="1274" spans="1:53" s="43" customFormat="1" ht="17.25" customHeight="1" x14ac:dyDescent="0.2">
      <c r="I1274" s="3"/>
      <c r="J1274" s="3"/>
      <c r="K1274" s="3"/>
      <c r="L1274" s="3"/>
      <c r="M1274" s="111"/>
      <c r="O1274" s="87"/>
      <c r="U1274" s="111"/>
      <c r="AV1274" s="49"/>
      <c r="AW1274" s="49"/>
      <c r="AX1274" s="49"/>
      <c r="AY1274" s="49"/>
      <c r="AZ1274" s="49"/>
      <c r="BA1274" s="49"/>
    </row>
    <row r="1275" spans="1:53" ht="17.25" customHeight="1" x14ac:dyDescent="0.2">
      <c r="A1275" s="10"/>
      <c r="B1275" s="10"/>
      <c r="C1275" s="10"/>
      <c r="D1275" s="10"/>
      <c r="E1275" s="10"/>
      <c r="F1275" s="10"/>
      <c r="G1275" s="10"/>
      <c r="H1275" s="10"/>
      <c r="I1275" s="10"/>
      <c r="J1275" s="10"/>
      <c r="K1275" s="3"/>
      <c r="L1275" s="3"/>
      <c r="M1275" s="5"/>
      <c r="U1275" s="5"/>
      <c r="V1275" s="5"/>
      <c r="W1275" s="5"/>
      <c r="X1275" s="5"/>
      <c r="Y1275" s="5"/>
      <c r="Z1275" s="5"/>
      <c r="AA1275" s="5"/>
      <c r="AB1275" s="5"/>
      <c r="AC1275" s="5"/>
      <c r="AD1275" s="5"/>
      <c r="AE1275" s="5"/>
      <c r="AF1275" s="5"/>
      <c r="AG1275" s="5"/>
      <c r="AH1275" s="5"/>
    </row>
    <row r="1276" spans="1:53" ht="17.25" customHeight="1" x14ac:dyDescent="0.2">
      <c r="A1276" s="10"/>
      <c r="B1276" s="10"/>
      <c r="C1276" s="10"/>
      <c r="D1276" s="10"/>
      <c r="E1276" s="10"/>
      <c r="F1276" s="10"/>
      <c r="G1276" s="10"/>
      <c r="H1276" s="10"/>
      <c r="I1276" s="10"/>
      <c r="J1276" s="10"/>
      <c r="K1276" s="3"/>
      <c r="L1276" s="3"/>
      <c r="M1276" s="10"/>
      <c r="U1276" s="5"/>
      <c r="V1276" s="5"/>
      <c r="W1276" s="5"/>
      <c r="X1276" s="5"/>
      <c r="Y1276" s="5"/>
      <c r="Z1276" s="5"/>
      <c r="AA1276" s="5"/>
      <c r="AB1276" s="5"/>
      <c r="AC1276" s="5"/>
      <c r="AD1276" s="5"/>
      <c r="AE1276" s="5"/>
      <c r="AF1276" s="5"/>
      <c r="AG1276" s="5"/>
      <c r="AH1276" s="5"/>
    </row>
    <row r="1277" spans="1:53" ht="17.25" customHeight="1" x14ac:dyDescent="0.2">
      <c r="A1277" s="10"/>
      <c r="B1277" s="10"/>
      <c r="C1277" s="10"/>
      <c r="D1277" s="10"/>
      <c r="E1277" s="10"/>
      <c r="F1277" s="10"/>
      <c r="G1277" s="10"/>
      <c r="H1277" s="10"/>
      <c r="I1277" s="3"/>
      <c r="J1277" s="3"/>
      <c r="K1277" s="3"/>
      <c r="L1277" s="3"/>
      <c r="M1277" s="10"/>
      <c r="N1277" s="187"/>
      <c r="O1277" s="241"/>
      <c r="P1277" s="188"/>
      <c r="U1277" s="5"/>
      <c r="V1277" s="5"/>
      <c r="W1277" s="5"/>
      <c r="X1277" s="5"/>
      <c r="Y1277" s="5"/>
      <c r="Z1277" s="5"/>
      <c r="AA1277" s="5"/>
      <c r="AB1277" s="5"/>
      <c r="AC1277" s="5"/>
      <c r="AD1277" s="5"/>
      <c r="AE1277" s="5"/>
      <c r="AF1277" s="5"/>
      <c r="AG1277" s="5"/>
      <c r="AH1277" s="5"/>
    </row>
    <row r="1278" spans="1:53" ht="17.25" customHeight="1" x14ac:dyDescent="0.2">
      <c r="A1278" s="10"/>
      <c r="B1278" s="10"/>
      <c r="C1278" s="10"/>
      <c r="D1278" s="10"/>
      <c r="E1278" s="10"/>
      <c r="F1278" s="10"/>
      <c r="G1278" s="10"/>
      <c r="H1278" s="10"/>
      <c r="I1278" s="3"/>
      <c r="J1278" s="3"/>
      <c r="K1278" s="3"/>
      <c r="L1278" s="3"/>
      <c r="M1278" s="10"/>
      <c r="N1278" s="187"/>
      <c r="O1278" s="241"/>
      <c r="P1278" s="188"/>
      <c r="U1278" s="5"/>
      <c r="V1278" s="5"/>
      <c r="W1278" s="5"/>
      <c r="X1278" s="5"/>
      <c r="Y1278" s="5"/>
      <c r="Z1278" s="5"/>
      <c r="AA1278" s="5"/>
      <c r="AB1278" s="5"/>
      <c r="AC1278" s="5"/>
      <c r="AD1278" s="5"/>
      <c r="AE1278" s="5"/>
      <c r="AF1278" s="5"/>
      <c r="AG1278" s="5"/>
      <c r="AH1278" s="5"/>
    </row>
    <row r="1279" spans="1:53" ht="17.25" customHeight="1" x14ac:dyDescent="0.2">
      <c r="A1279" s="10"/>
      <c r="B1279" s="10"/>
      <c r="C1279" s="10"/>
      <c r="D1279" s="10"/>
      <c r="E1279" s="10"/>
      <c r="F1279" s="10"/>
      <c r="G1279" s="10"/>
      <c r="H1279" s="10"/>
      <c r="I1279" s="3"/>
      <c r="J1279" s="3"/>
      <c r="K1279" s="3"/>
      <c r="L1279" s="3"/>
      <c r="M1279" s="10"/>
      <c r="N1279" s="187"/>
      <c r="O1279" s="241"/>
      <c r="P1279" s="188"/>
      <c r="U1279" s="5"/>
      <c r="V1279" s="5"/>
      <c r="W1279" s="5"/>
      <c r="X1279" s="5"/>
      <c r="Y1279" s="5"/>
      <c r="Z1279" s="5"/>
      <c r="AA1279" s="5"/>
      <c r="AB1279" s="5"/>
      <c r="AC1279" s="5"/>
      <c r="AD1279" s="5"/>
      <c r="AE1279" s="5"/>
      <c r="AF1279" s="5"/>
      <c r="AG1279" s="5"/>
      <c r="AH1279" s="5"/>
    </row>
    <row r="1280" spans="1:53" ht="17.25" customHeight="1" x14ac:dyDescent="0.2">
      <c r="A1280" s="10"/>
      <c r="B1280" s="10"/>
      <c r="C1280" s="10"/>
      <c r="D1280" s="10"/>
      <c r="E1280" s="10"/>
      <c r="F1280" s="10"/>
      <c r="G1280" s="10"/>
      <c r="H1280" s="10"/>
      <c r="I1280" s="3"/>
      <c r="J1280" s="3"/>
      <c r="K1280" s="3"/>
      <c r="L1280" s="3"/>
      <c r="M1280" s="10"/>
      <c r="N1280" s="187"/>
      <c r="O1280" s="241"/>
      <c r="P1280" s="188"/>
      <c r="U1280" s="5"/>
      <c r="V1280" s="5"/>
      <c r="W1280" s="5"/>
      <c r="X1280" s="5"/>
      <c r="Y1280" s="5"/>
      <c r="Z1280" s="5"/>
      <c r="AA1280" s="5"/>
      <c r="AB1280" s="5"/>
      <c r="AC1280" s="5"/>
      <c r="AD1280" s="5"/>
      <c r="AE1280" s="5"/>
      <c r="AF1280" s="5"/>
      <c r="AG1280" s="5"/>
      <c r="AH1280" s="5"/>
    </row>
    <row r="1298" spans="1:1" x14ac:dyDescent="0.2">
      <c r="A1298" s="13" t="s">
        <v>529</v>
      </c>
    </row>
    <row r="1299" spans="1:1" x14ac:dyDescent="0.2">
      <c r="A1299" s="9" t="s">
        <v>520</v>
      </c>
    </row>
  </sheetData>
  <mergeCells count="124">
    <mergeCell ref="A1251:B1251"/>
    <mergeCell ref="C1253:D1253"/>
    <mergeCell ref="F1264:G1264"/>
    <mergeCell ref="D1268:J1268"/>
    <mergeCell ref="G1180:H1180"/>
    <mergeCell ref="G1181:H1181"/>
    <mergeCell ref="A1248:B1248"/>
    <mergeCell ref="A1249:B1249"/>
    <mergeCell ref="O1249:R1249"/>
    <mergeCell ref="A1250:B1250"/>
    <mergeCell ref="O1250:R1250"/>
    <mergeCell ref="A1106:B1106"/>
    <mergeCell ref="D1124:J1124"/>
    <mergeCell ref="D1128:J1128"/>
    <mergeCell ref="F1119:G1119"/>
    <mergeCell ref="A1103:B1103"/>
    <mergeCell ref="A1104:B1104"/>
    <mergeCell ref="O1104:R1104"/>
    <mergeCell ref="A1105:B1105"/>
    <mergeCell ref="O1105:R1105"/>
    <mergeCell ref="A984:E984"/>
    <mergeCell ref="AP786:AS786"/>
    <mergeCell ref="A750:B750"/>
    <mergeCell ref="A751:B751"/>
    <mergeCell ref="O751:R751"/>
    <mergeCell ref="H891:I891"/>
    <mergeCell ref="F889:G890"/>
    <mergeCell ref="F891:G891"/>
    <mergeCell ref="O752:R752"/>
    <mergeCell ref="I868:K868"/>
    <mergeCell ref="A753:B753"/>
    <mergeCell ref="D889:E890"/>
    <mergeCell ref="D891:E891"/>
    <mergeCell ref="AP906:AS906"/>
    <mergeCell ref="T911:T912"/>
    <mergeCell ref="F918:G919"/>
    <mergeCell ref="H918:I919"/>
    <mergeCell ref="D920:E920"/>
    <mergeCell ref="F920:G920"/>
    <mergeCell ref="H920:I920"/>
    <mergeCell ref="D918:E919"/>
    <mergeCell ref="H962:K962"/>
    <mergeCell ref="C939:H939"/>
    <mergeCell ref="AB692:AC692"/>
    <mergeCell ref="C661:D661"/>
    <mergeCell ref="O703:R703"/>
    <mergeCell ref="O704:R704"/>
    <mergeCell ref="J704:K704"/>
    <mergeCell ref="E685:F685"/>
    <mergeCell ref="E686:F686"/>
    <mergeCell ref="G688:I688"/>
    <mergeCell ref="C700:D700"/>
    <mergeCell ref="A1:M1"/>
    <mergeCell ref="A702:B702"/>
    <mergeCell ref="A703:B703"/>
    <mergeCell ref="A752:B752"/>
    <mergeCell ref="A10:M10"/>
    <mergeCell ref="H95:I95"/>
    <mergeCell ref="A704:B704"/>
    <mergeCell ref="A705:B705"/>
    <mergeCell ref="A260:M260"/>
    <mergeCell ref="A355:M355"/>
    <mergeCell ref="E346:F346"/>
    <mergeCell ref="B305:C305"/>
    <mergeCell ref="B314:C314"/>
    <mergeCell ref="A535:M535"/>
    <mergeCell ref="A454:M454"/>
    <mergeCell ref="H526:I526"/>
    <mergeCell ref="C701:D701"/>
    <mergeCell ref="C702:D702"/>
    <mergeCell ref="C703:D703"/>
    <mergeCell ref="C704:D704"/>
    <mergeCell ref="C705:D705"/>
    <mergeCell ref="E293:M293"/>
    <mergeCell ref="G478:H478"/>
    <mergeCell ref="H483:I483"/>
    <mergeCell ref="A1045:B1045"/>
    <mergeCell ref="O1045:R1045"/>
    <mergeCell ref="D798:E798"/>
    <mergeCell ref="E1005:F1005"/>
    <mergeCell ref="D1063:J1063"/>
    <mergeCell ref="D1068:J1068"/>
    <mergeCell ref="J914:K914"/>
    <mergeCell ref="H903:I903"/>
    <mergeCell ref="H887:I887"/>
    <mergeCell ref="C906:D906"/>
    <mergeCell ref="C907:D907"/>
    <mergeCell ref="C908:D908"/>
    <mergeCell ref="C909:D909"/>
    <mergeCell ref="C910:D910"/>
    <mergeCell ref="A1046:B1046"/>
    <mergeCell ref="A1043:B1043"/>
    <mergeCell ref="A1044:B1044"/>
    <mergeCell ref="H984:K984"/>
    <mergeCell ref="D925:J925"/>
    <mergeCell ref="D896:J896"/>
    <mergeCell ref="H880:I880"/>
    <mergeCell ref="G1058:H1058"/>
    <mergeCell ref="O1044:R1044"/>
    <mergeCell ref="H889:I890"/>
    <mergeCell ref="D582:E582"/>
    <mergeCell ref="A492:M492"/>
    <mergeCell ref="G521:H521"/>
    <mergeCell ref="G690:I690"/>
    <mergeCell ref="B693:C693"/>
    <mergeCell ref="F693:H693"/>
    <mergeCell ref="C699:D699"/>
    <mergeCell ref="C1048:D1048"/>
    <mergeCell ref="C1109:D1109"/>
    <mergeCell ref="C752:D752"/>
    <mergeCell ref="C753:D753"/>
    <mergeCell ref="C755:D755"/>
    <mergeCell ref="C708:D708"/>
    <mergeCell ref="F765:H765"/>
    <mergeCell ref="C747:D747"/>
    <mergeCell ref="C748:D748"/>
    <mergeCell ref="C749:D749"/>
    <mergeCell ref="C750:D750"/>
    <mergeCell ref="C751:D751"/>
    <mergeCell ref="F719:H719"/>
    <mergeCell ref="E636:F636"/>
    <mergeCell ref="E637:F637"/>
    <mergeCell ref="A962:E962"/>
    <mergeCell ref="G559:H559"/>
  </mergeCells>
  <dataValidations count="3">
    <dataValidation type="list" allowBlank="1" showInputMessage="1" showErrorMessage="1" sqref="C939:H939" xr:uid="{00000000-0002-0000-0000-000000000000}">
      <formula1>$E$934:$E$936</formula1>
    </dataValidation>
    <dataValidation type="list" allowBlank="1" showInputMessage="1" showErrorMessage="1" sqref="C877" xr:uid="{00000000-0002-0000-0000-000001000000}">
      <formula1>$N$873:$N$880</formula1>
    </dataValidation>
    <dataValidation type="list" allowBlank="1" showInputMessage="1" showErrorMessage="1" sqref="F1269 F926:F927 F1069 F1064 F1129 F1125 F897" xr:uid="{00000000-0002-0000-0000-000002000000}">
      <formula1>$N$889:$N$896</formula1>
    </dataValidation>
  </dataValidations>
  <printOptions horizontalCentered="1"/>
  <pageMargins left="0.84" right="0.52" top="0.53" bottom="0.57999999999999996" header="0.33" footer="0.31496062992125984"/>
  <pageSetup paperSize="9" scale="59" fitToHeight="0" orientation="portrait" horizontalDpi="4294967294" r:id="rId1"/>
  <headerFooter>
    <oddFooter>&amp;R&amp;"BankGothic Lt BT,Light"&amp;12&amp;K002060Página &amp;P</oddFooter>
  </headerFooter>
  <rowBreaks count="10" manualBreakCount="10">
    <brk id="375" max="12" man="1"/>
    <brk id="432" max="12" man="1"/>
    <brk id="491" max="12" man="1"/>
    <brk id="603" max="12" man="1"/>
    <brk id="660" max="12" man="1"/>
    <brk id="720" max="12" man="1"/>
    <brk id="900" max="12" man="1"/>
    <brk id="1094" max="12" man="1"/>
    <brk id="1155" max="12" man="1"/>
    <brk id="1297" max="12"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TANQUE SEPTICO</vt:lpstr>
      <vt:lpstr>'TANQUE SEPTICO'!Área_de_impresión</vt:lpstr>
      <vt:lpstr>'TANQUE SEPTICO'!Títulos_a_imprimir</vt:lpstr>
    </vt:vector>
  </TitlesOfParts>
  <Company>Ingeniero Consultor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YELSIN SEBASTIAN</cp:lastModifiedBy>
  <cp:lastPrinted>2020-01-14T17:18:44Z</cp:lastPrinted>
  <dcterms:created xsi:type="dcterms:W3CDTF">1999-03-25T23:29:01Z</dcterms:created>
  <dcterms:modified xsi:type="dcterms:W3CDTF">2025-07-25T16:14:45Z</dcterms:modified>
</cp:coreProperties>
</file>