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USER\Downloads\EXCCELLL\Archivos Excel\"/>
    </mc:Choice>
  </mc:AlternateContent>
  <xr:revisionPtr revIDLastSave="0" documentId="13_ncr:1_{5F91C6B7-511F-4254-9F9B-9E6CF0C93CDF}" xr6:coauthVersionLast="47" xr6:coauthVersionMax="47" xr10:uidLastSave="{00000000-0000-0000-0000-000000000000}"/>
  <bookViews>
    <workbookView xWindow="-120" yWindow="-120" windowWidth="29040" windowHeight="15720" tabRatio="908" xr2:uid="{00000000-000D-0000-FFFF-FFFF00000000}"/>
  </bookViews>
  <sheets>
    <sheet name="ZAPATAS Y SOLADOS" sheetId="2" r:id="rId1"/>
    <sheet name="CIMIENTOS CORRIDOS" sheetId="1" r:id="rId2"/>
    <sheet name="SOBRECIMIENTO" sheetId="4" r:id="rId3"/>
    <sheet name="MUROS DE LADRILLOS" sheetId="5" r:id="rId4"/>
    <sheet name="FALSOPISO" sheetId="6" r:id="rId5"/>
    <sheet name="COLUMNAS" sheetId="8" r:id="rId6"/>
    <sheet name="VIGAS" sheetId="7" r:id="rId7"/>
    <sheet name="LOSAS ALIGERADAS" sheetId="9" r:id="rId8"/>
  </sheets>
  <definedNames>
    <definedName name="_xlnm.Print_Area" localSheetId="1">'CIMIENTOS CORRIDOS'!$A$1:$I$273</definedName>
    <definedName name="_xlnm.Print_Area" localSheetId="0">'ZAPATAS Y SOLADOS'!$A$1:$I$573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2" i="9" l="1"/>
  <c r="F521" i="9"/>
  <c r="F520" i="9"/>
  <c r="F519" i="9"/>
  <c r="D519" i="9"/>
  <c r="F518" i="9"/>
  <c r="C518" i="9"/>
  <c r="F517" i="9"/>
  <c r="C517" i="9"/>
  <c r="C512" i="9"/>
  <c r="E503" i="9"/>
  <c r="F502" i="9"/>
  <c r="E493" i="9"/>
  <c r="D479" i="9"/>
  <c r="D477" i="9"/>
  <c r="C477" i="9"/>
  <c r="A477" i="9"/>
  <c r="D476" i="9"/>
  <c r="C476" i="9"/>
  <c r="A476" i="9"/>
  <c r="D462" i="9"/>
  <c r="D450" i="9"/>
  <c r="D445" i="9"/>
  <c r="D432" i="9"/>
  <c r="D427" i="9"/>
  <c r="D423" i="9"/>
  <c r="F423" i="9" s="1"/>
  <c r="C423" i="9"/>
  <c r="A423" i="9"/>
  <c r="D422" i="9"/>
  <c r="C422" i="9"/>
  <c r="A422" i="9"/>
  <c r="E421" i="9"/>
  <c r="E420" i="9"/>
  <c r="D408" i="9"/>
  <c r="F407" i="9"/>
  <c r="C491" i="9" s="1"/>
  <c r="E404" i="9"/>
  <c r="E486" i="9" s="1"/>
  <c r="E509" i="9" s="1"/>
  <c r="E403" i="9"/>
  <c r="E485" i="9" s="1"/>
  <c r="E508" i="9" s="1"/>
  <c r="F395" i="9"/>
  <c r="D395" i="9"/>
  <c r="F393" i="9"/>
  <c r="E390" i="9"/>
  <c r="F384" i="9"/>
  <c r="F383" i="9"/>
  <c r="F382" i="9"/>
  <c r="F381" i="9"/>
  <c r="C381" i="9"/>
  <c r="D466" i="9" s="1"/>
  <c r="B499" i="9" s="1"/>
  <c r="E378" i="9"/>
  <c r="D467" i="9" s="1"/>
  <c r="F374" i="9"/>
  <c r="F373" i="9"/>
  <c r="F372" i="9"/>
  <c r="F371" i="9"/>
  <c r="E368" i="9"/>
  <c r="F364" i="9"/>
  <c r="F363" i="9"/>
  <c r="F362" i="9"/>
  <c r="F361" i="9"/>
  <c r="E358" i="9"/>
  <c r="F354" i="9"/>
  <c r="F353" i="9"/>
  <c r="F352" i="9"/>
  <c r="D352" i="9"/>
  <c r="F351" i="9"/>
  <c r="F350" i="9"/>
  <c r="E347" i="9"/>
  <c r="F344" i="9"/>
  <c r="G393" i="9" s="1"/>
  <c r="D425" i="9" s="1"/>
  <c r="G323" i="9"/>
  <c r="G334" i="9" s="1"/>
  <c r="G322" i="9"/>
  <c r="G333" i="9" s="1"/>
  <c r="G321" i="9"/>
  <c r="G332" i="9" s="1"/>
  <c r="F317" i="9"/>
  <c r="F324" i="9" s="1"/>
  <c r="F335" i="9" s="1"/>
  <c r="E522" i="9" s="1"/>
  <c r="G316" i="9"/>
  <c r="G315" i="9"/>
  <c r="G314" i="9"/>
  <c r="F311" i="9"/>
  <c r="D460" i="9" s="1"/>
  <c r="F460" i="9" s="1"/>
  <c r="F297" i="9"/>
  <c r="F303" i="9" s="1"/>
  <c r="F296" i="9"/>
  <c r="D442" i="9" s="1"/>
  <c r="F295" i="9"/>
  <c r="D441" i="9" s="1"/>
  <c r="F441" i="9" s="1"/>
  <c r="E262" i="9"/>
  <c r="D247" i="9"/>
  <c r="D252" i="9" s="1"/>
  <c r="E237" i="9"/>
  <c r="D240" i="9" s="1"/>
  <c r="D220" i="9"/>
  <c r="D317" i="9" s="1"/>
  <c r="D324" i="9" s="1"/>
  <c r="D335" i="9" s="1"/>
  <c r="G219" i="9"/>
  <c r="D219" i="9"/>
  <c r="C219" i="9"/>
  <c r="G218" i="9"/>
  <c r="D218" i="9"/>
  <c r="C218" i="9"/>
  <c r="G217" i="9"/>
  <c r="D217" i="9"/>
  <c r="C217" i="9"/>
  <c r="F204" i="9"/>
  <c r="G186" i="9"/>
  <c r="F186" i="9"/>
  <c r="E186" i="9"/>
  <c r="G185" i="9"/>
  <c r="G187" i="9" s="1"/>
  <c r="F184" i="9"/>
  <c r="F187" i="9" s="1"/>
  <c r="E183" i="9"/>
  <c r="H169" i="9"/>
  <c r="E426" i="9" s="1"/>
  <c r="H168" i="9"/>
  <c r="E425" i="9" s="1"/>
  <c r="H163" i="9"/>
  <c r="E442" i="9" s="1"/>
  <c r="G163" i="9"/>
  <c r="H162" i="9"/>
  <c r="E441" i="9" s="1"/>
  <c r="G162" i="9"/>
  <c r="H161" i="9"/>
  <c r="E460" i="9" s="1"/>
  <c r="G161" i="9"/>
  <c r="H160" i="9"/>
  <c r="G160" i="9"/>
  <c r="C160" i="9"/>
  <c r="H159" i="9"/>
  <c r="E159" i="9"/>
  <c r="G159" i="9" s="1"/>
  <c r="D159" i="9"/>
  <c r="C159" i="9"/>
  <c r="D521" i="9" s="1"/>
  <c r="B159" i="9"/>
  <c r="C521" i="9" s="1"/>
  <c r="H158" i="9"/>
  <c r="E158" i="9"/>
  <c r="G158" i="9" s="1"/>
  <c r="D158" i="9"/>
  <c r="C158" i="9"/>
  <c r="D520" i="9" s="1"/>
  <c r="B158" i="9"/>
  <c r="C520" i="9" s="1"/>
  <c r="H157" i="9"/>
  <c r="E157" i="9"/>
  <c r="G157" i="9" s="1"/>
  <c r="D157" i="9"/>
  <c r="C157" i="9"/>
  <c r="B157" i="9"/>
  <c r="C519" i="9" s="1"/>
  <c r="H156" i="9"/>
  <c r="E423" i="9" s="1"/>
  <c r="E156" i="9"/>
  <c r="G156" i="9" s="1"/>
  <c r="D156" i="9"/>
  <c r="B156" i="9"/>
  <c r="H155" i="9"/>
  <c r="E422" i="9" s="1"/>
  <c r="E155" i="9"/>
  <c r="G155" i="9" s="1"/>
  <c r="D155" i="9"/>
  <c r="B155" i="9"/>
  <c r="H154" i="9"/>
  <c r="G154" i="9"/>
  <c r="H153" i="9"/>
  <c r="G153" i="9"/>
  <c r="H152" i="9"/>
  <c r="E419" i="9" s="1"/>
  <c r="G152" i="9"/>
  <c r="H151" i="9"/>
  <c r="E418" i="9" s="1"/>
  <c r="G151" i="9"/>
  <c r="H150" i="9"/>
  <c r="E477" i="9" s="1"/>
  <c r="F477" i="9" s="1"/>
  <c r="E150" i="9"/>
  <c r="G150" i="9" s="1"/>
  <c r="D150" i="9"/>
  <c r="B150" i="9"/>
  <c r="H149" i="9"/>
  <c r="E476" i="9" s="1"/>
  <c r="E149" i="9"/>
  <c r="G149" i="9" s="1"/>
  <c r="D149" i="9"/>
  <c r="B149" i="9"/>
  <c r="C96" i="9"/>
  <c r="C95" i="9"/>
  <c r="C94" i="9"/>
  <c r="F315" i="9" s="1"/>
  <c r="C93" i="9"/>
  <c r="C92" i="9"/>
  <c r="C91" i="9"/>
  <c r="D522" i="9" s="1"/>
  <c r="F74" i="9"/>
  <c r="F280" i="9" s="1"/>
  <c r="D421" i="9" s="1"/>
  <c r="F421" i="9" s="1"/>
  <c r="F73" i="9"/>
  <c r="F279" i="9" s="1"/>
  <c r="F72" i="9"/>
  <c r="F278" i="9" s="1"/>
  <c r="D419" i="9" s="1"/>
  <c r="F71" i="9"/>
  <c r="F277" i="9" s="1"/>
  <c r="G52" i="9"/>
  <c r="C52" i="9"/>
  <c r="G48" i="9"/>
  <c r="F47" i="9"/>
  <c r="F46" i="9"/>
  <c r="F45" i="9"/>
  <c r="G39" i="9"/>
  <c r="G35" i="9"/>
  <c r="F34" i="9"/>
  <c r="F33" i="9"/>
  <c r="D38" i="9" s="1"/>
  <c r="D382" i="9" s="1"/>
  <c r="F466" i="9" s="1"/>
  <c r="C500" i="9" s="1"/>
  <c r="F32" i="9"/>
  <c r="F419" i="9" l="1"/>
  <c r="E187" i="9"/>
  <c r="E191" i="9" s="1"/>
  <c r="E192" i="9" s="1"/>
  <c r="G382" i="9"/>
  <c r="D472" i="9" s="1"/>
  <c r="F322" i="9"/>
  <c r="F333" i="9" s="1"/>
  <c r="E520" i="9" s="1"/>
  <c r="F301" i="9"/>
  <c r="E524" i="9" s="1"/>
  <c r="F302" i="9"/>
  <c r="E525" i="9" s="1"/>
  <c r="D443" i="9"/>
  <c r="G362" i="9"/>
  <c r="D437" i="9" s="1"/>
  <c r="G364" i="9"/>
  <c r="D439" i="9" s="1"/>
  <c r="F314" i="9"/>
  <c r="F321" i="9" s="1"/>
  <c r="D420" i="9"/>
  <c r="F420" i="9" s="1"/>
  <c r="F425" i="9"/>
  <c r="G353" i="9"/>
  <c r="D415" i="9" s="1"/>
  <c r="F334" i="9"/>
  <c r="E521" i="9" s="1"/>
  <c r="F323" i="9"/>
  <c r="F316" i="9"/>
  <c r="D238" i="9"/>
  <c r="D241" i="9" s="1"/>
  <c r="E245" i="9" s="1"/>
  <c r="E247" i="9" s="1"/>
  <c r="E252" i="9" s="1"/>
  <c r="G372" i="9"/>
  <c r="D455" i="9" s="1"/>
  <c r="G351" i="9"/>
  <c r="D413" i="9" s="1"/>
  <c r="G361" i="9"/>
  <c r="D436" i="9" s="1"/>
  <c r="G371" i="9"/>
  <c r="D454" i="9" s="1"/>
  <c r="G374" i="9"/>
  <c r="D457" i="9" s="1"/>
  <c r="G384" i="9"/>
  <c r="D474" i="9" s="1"/>
  <c r="F191" i="9"/>
  <c r="F192" i="9" s="1"/>
  <c r="G395" i="9"/>
  <c r="D426" i="9" s="1"/>
  <c r="F422" i="9"/>
  <c r="E443" i="9"/>
  <c r="F443" i="9" s="1"/>
  <c r="G191" i="9"/>
  <c r="G192" i="9" s="1"/>
  <c r="G198" i="9" s="1"/>
  <c r="E415" i="9" s="1"/>
  <c r="G350" i="9"/>
  <c r="D412" i="9" s="1"/>
  <c r="G354" i="9"/>
  <c r="D416" i="9" s="1"/>
  <c r="G383" i="9"/>
  <c r="D473" i="9" s="1"/>
  <c r="F476" i="9"/>
  <c r="H476" i="9" s="1"/>
  <c r="G352" i="9"/>
  <c r="D414" i="9" s="1"/>
  <c r="G363" i="9"/>
  <c r="D438" i="9" s="1"/>
  <c r="G373" i="9"/>
  <c r="D456" i="9" s="1"/>
  <c r="G381" i="9"/>
  <c r="D471" i="9" s="1"/>
  <c r="D418" i="9"/>
  <c r="F418" i="9" s="1"/>
  <c r="F442" i="9"/>
  <c r="F310" i="9" l="1"/>
  <c r="D459" i="9" s="1"/>
  <c r="F332" i="9"/>
  <c r="E519" i="9" s="1"/>
  <c r="G196" i="9"/>
  <c r="E413" i="9" s="1"/>
  <c r="G201" i="9"/>
  <c r="G195" i="9"/>
  <c r="E412" i="9" s="1"/>
  <c r="G200" i="9"/>
  <c r="E416" i="9" s="1"/>
  <c r="H441" i="9"/>
  <c r="H418" i="9"/>
  <c r="F416" i="9"/>
  <c r="E471" i="9"/>
  <c r="F471" i="9" s="1"/>
  <c r="E454" i="9"/>
  <c r="E436" i="9"/>
  <c r="F436" i="9" s="1"/>
  <c r="F457" i="9"/>
  <c r="F412" i="9"/>
  <c r="G199" i="9"/>
  <c r="G197" i="9"/>
  <c r="E414" i="9" s="1"/>
  <c r="F454" i="9"/>
  <c r="E472" i="9"/>
  <c r="F472" i="9" s="1"/>
  <c r="E455" i="9"/>
  <c r="F455" i="9" s="1"/>
  <c r="E437" i="9"/>
  <c r="F437" i="9" s="1"/>
  <c r="E499" i="9"/>
  <c r="E512" i="9"/>
  <c r="F325" i="9"/>
  <c r="F336" i="9" s="1"/>
  <c r="E523" i="9" s="1"/>
  <c r="E439" i="9"/>
  <c r="F439" i="9" s="1"/>
  <c r="E474" i="9"/>
  <c r="E457" i="9"/>
  <c r="F426" i="9"/>
  <c r="F415" i="9"/>
  <c r="E496" i="9"/>
  <c r="D264" i="9"/>
  <c r="E267" i="9" s="1"/>
  <c r="E268" i="9" s="1"/>
  <c r="F474" i="9"/>
  <c r="F413" i="9"/>
  <c r="E459" i="9"/>
  <c r="F459" i="9" s="1"/>
  <c r="H459" i="9" s="1"/>
  <c r="E456" i="9" l="1"/>
  <c r="F456" i="9" s="1"/>
  <c r="H454" i="9" s="1"/>
  <c r="E438" i="9"/>
  <c r="F438" i="9" s="1"/>
  <c r="H436" i="9" s="1"/>
  <c r="E473" i="9"/>
  <c r="F473" i="9" s="1"/>
  <c r="H471" i="9" s="1"/>
  <c r="F414" i="9"/>
  <c r="E272" i="9"/>
  <c r="F285" i="9"/>
  <c r="E513" i="9" s="1"/>
  <c r="F288" i="9"/>
  <c r="E516" i="9" s="1"/>
  <c r="F287" i="9"/>
  <c r="E515" i="9" s="1"/>
  <c r="F286" i="9"/>
  <c r="E514" i="9" s="1"/>
  <c r="H412" i="9"/>
  <c r="E445" i="9" l="1"/>
  <c r="F445" i="9" s="1"/>
  <c r="H445" i="9" s="1"/>
  <c r="H433" i="9" s="1"/>
  <c r="F493" i="9" s="1"/>
  <c r="H493" i="9" s="1"/>
  <c r="E462" i="9"/>
  <c r="F462" i="9" s="1"/>
  <c r="H462" i="9" s="1"/>
  <c r="H451" i="9"/>
  <c r="F496" i="9" s="1"/>
  <c r="H496" i="9" s="1"/>
  <c r="E490" i="9"/>
  <c r="E517" i="9"/>
  <c r="E518" i="9"/>
  <c r="E427" i="9"/>
  <c r="F427" i="9" s="1"/>
  <c r="H425" i="9" s="1"/>
  <c r="H409" i="9" s="1"/>
  <c r="F490" i="9" s="1"/>
  <c r="E479" i="9"/>
  <c r="F479" i="9" s="1"/>
  <c r="H479" i="9" s="1"/>
  <c r="H468" i="9"/>
  <c r="F499" i="9" s="1"/>
  <c r="H499" i="9" s="1"/>
  <c r="H490" i="9" l="1"/>
  <c r="H502" i="9" s="1"/>
  <c r="E533" i="9"/>
  <c r="E529" i="9"/>
  <c r="E531" i="9"/>
  <c r="E534" i="9"/>
  <c r="E527" i="9"/>
  <c r="E530" i="9"/>
  <c r="E528" i="9"/>
  <c r="F462" i="8" l="1"/>
  <c r="F461" i="8"/>
  <c r="F460" i="8"/>
  <c r="F459" i="8"/>
  <c r="F458" i="8"/>
  <c r="F457" i="8"/>
  <c r="F456" i="8"/>
  <c r="F455" i="8"/>
  <c r="F454" i="8"/>
  <c r="E441" i="8"/>
  <c r="E434" i="8"/>
  <c r="E431" i="8"/>
  <c r="E427" i="8"/>
  <c r="E447" i="8" s="1"/>
  <c r="D420" i="8"/>
  <c r="D408" i="8"/>
  <c r="D403" i="8"/>
  <c r="E400" i="8"/>
  <c r="D390" i="8"/>
  <c r="D385" i="8"/>
  <c r="D381" i="8"/>
  <c r="C381" i="8"/>
  <c r="A381" i="8"/>
  <c r="D380" i="8"/>
  <c r="C380" i="8"/>
  <c r="A380" i="8"/>
  <c r="D366" i="8"/>
  <c r="F365" i="8"/>
  <c r="C432" i="8" s="1"/>
  <c r="E362" i="8"/>
  <c r="E361" i="8"/>
  <c r="E426" i="8" s="1"/>
  <c r="E446" i="8" s="1"/>
  <c r="F353" i="8"/>
  <c r="D353" i="8"/>
  <c r="F351" i="8"/>
  <c r="E348" i="8"/>
  <c r="F341" i="8"/>
  <c r="F340" i="8"/>
  <c r="G340" i="8" s="1"/>
  <c r="D414" i="8" s="1"/>
  <c r="F339" i="8"/>
  <c r="F338" i="8"/>
  <c r="E335" i="8"/>
  <c r="F331" i="8"/>
  <c r="F330" i="8"/>
  <c r="G330" i="8" s="1"/>
  <c r="D396" i="8" s="1"/>
  <c r="F329" i="8"/>
  <c r="F328" i="8"/>
  <c r="G328" i="8" s="1"/>
  <c r="D394" i="8" s="1"/>
  <c r="E325" i="8"/>
  <c r="F321" i="8"/>
  <c r="F320" i="8"/>
  <c r="G320" i="8" s="1"/>
  <c r="D373" i="8" s="1"/>
  <c r="F319" i="8"/>
  <c r="D319" i="8"/>
  <c r="F318" i="8"/>
  <c r="F317" i="8"/>
  <c r="G317" i="8" s="1"/>
  <c r="D370" i="8" s="1"/>
  <c r="E314" i="8"/>
  <c r="F311" i="8"/>
  <c r="G298" i="8"/>
  <c r="G284" i="8"/>
  <c r="G283" i="8"/>
  <c r="G297" i="8" s="1"/>
  <c r="G282" i="8"/>
  <c r="G296" i="8" s="1"/>
  <c r="G278" i="8"/>
  <c r="G302" i="8" s="1"/>
  <c r="G277" i="8"/>
  <c r="G301" i="8" s="1"/>
  <c r="G276" i="8"/>
  <c r="G300" i="8" s="1"/>
  <c r="G275" i="8"/>
  <c r="G299" i="8" s="1"/>
  <c r="G274" i="8"/>
  <c r="G270" i="8"/>
  <c r="G269" i="8"/>
  <c r="G268" i="8"/>
  <c r="F268" i="8"/>
  <c r="G267" i="8"/>
  <c r="G266" i="8"/>
  <c r="F266" i="8"/>
  <c r="F284" i="8" s="1"/>
  <c r="G265" i="8"/>
  <c r="G264" i="8"/>
  <c r="F261" i="8"/>
  <c r="D418" i="8" s="1"/>
  <c r="F247" i="8"/>
  <c r="D401" i="8" s="1"/>
  <c r="F246" i="8"/>
  <c r="D400" i="8" s="1"/>
  <c r="F245" i="8"/>
  <c r="D399" i="8" s="1"/>
  <c r="F221" i="8"/>
  <c r="E218" i="8"/>
  <c r="E222" i="8" s="1"/>
  <c r="H208" i="8"/>
  <c r="E208" i="8"/>
  <c r="C208" i="8"/>
  <c r="H207" i="8"/>
  <c r="E207" i="8"/>
  <c r="C207" i="8"/>
  <c r="H206" i="8"/>
  <c r="E206" i="8"/>
  <c r="F282" i="8" s="1"/>
  <c r="C206" i="8"/>
  <c r="H203" i="8"/>
  <c r="E203" i="8"/>
  <c r="F270" i="8" s="1"/>
  <c r="C203" i="8"/>
  <c r="H202" i="8"/>
  <c r="E202" i="8"/>
  <c r="C202" i="8"/>
  <c r="H201" i="8"/>
  <c r="E201" i="8"/>
  <c r="C201" i="8"/>
  <c r="H200" i="8"/>
  <c r="E200" i="8"/>
  <c r="F267" i="8" s="1"/>
  <c r="C200" i="8"/>
  <c r="H199" i="8"/>
  <c r="E199" i="8"/>
  <c r="C199" i="8"/>
  <c r="F195" i="8"/>
  <c r="F226" i="8" s="1"/>
  <c r="F181" i="8"/>
  <c r="F164" i="8"/>
  <c r="G163" i="8"/>
  <c r="F163" i="8"/>
  <c r="E163" i="8"/>
  <c r="G162" i="8"/>
  <c r="G164" i="8" s="1"/>
  <c r="G168" i="8" s="1"/>
  <c r="G169" i="8" s="1"/>
  <c r="G175" i="8" s="1"/>
  <c r="F161" i="8"/>
  <c r="E160" i="8"/>
  <c r="E164" i="8" s="1"/>
  <c r="H146" i="8"/>
  <c r="E384" i="8" s="1"/>
  <c r="H145" i="8"/>
  <c r="E383" i="8" s="1"/>
  <c r="H140" i="8"/>
  <c r="H139" i="8"/>
  <c r="E399" i="8" s="1"/>
  <c r="H138" i="8"/>
  <c r="E401" i="8" s="1"/>
  <c r="H137" i="8"/>
  <c r="E418" i="8" s="1"/>
  <c r="H136" i="8"/>
  <c r="E136" i="8"/>
  <c r="G136" i="8" s="1"/>
  <c r="D136" i="8"/>
  <c r="C136" i="8"/>
  <c r="D462" i="8" s="1"/>
  <c r="B136" i="8"/>
  <c r="C462" i="8" s="1"/>
  <c r="H135" i="8"/>
  <c r="E135" i="8"/>
  <c r="G135" i="8" s="1"/>
  <c r="D135" i="8"/>
  <c r="C135" i="8"/>
  <c r="D461" i="8" s="1"/>
  <c r="B135" i="8"/>
  <c r="C461" i="8" s="1"/>
  <c r="H134" i="8"/>
  <c r="G134" i="8"/>
  <c r="E134" i="8"/>
  <c r="D134" i="8"/>
  <c r="C134" i="8"/>
  <c r="D460" i="8" s="1"/>
  <c r="B134" i="8"/>
  <c r="C460" i="8" s="1"/>
  <c r="H133" i="8"/>
  <c r="E133" i="8"/>
  <c r="G133" i="8" s="1"/>
  <c r="D133" i="8"/>
  <c r="C133" i="8"/>
  <c r="D459" i="8" s="1"/>
  <c r="B133" i="8"/>
  <c r="C459" i="8" s="1"/>
  <c r="H132" i="8"/>
  <c r="E132" i="8"/>
  <c r="G132" i="8" s="1"/>
  <c r="D132" i="8"/>
  <c r="C132" i="8"/>
  <c r="D458" i="8" s="1"/>
  <c r="B132" i="8"/>
  <c r="C458" i="8" s="1"/>
  <c r="H131" i="8"/>
  <c r="E131" i="8"/>
  <c r="G131" i="8" s="1"/>
  <c r="D131" i="8"/>
  <c r="C131" i="8"/>
  <c r="D457" i="8" s="1"/>
  <c r="B131" i="8"/>
  <c r="C457" i="8" s="1"/>
  <c r="H130" i="8"/>
  <c r="E130" i="8"/>
  <c r="G130" i="8" s="1"/>
  <c r="D130" i="8"/>
  <c r="C130" i="8"/>
  <c r="D456" i="8" s="1"/>
  <c r="B130" i="8"/>
  <c r="C456" i="8" s="1"/>
  <c r="H129" i="8"/>
  <c r="E381" i="8" s="1"/>
  <c r="E129" i="8"/>
  <c r="G129" i="8" s="1"/>
  <c r="D129" i="8"/>
  <c r="B129" i="8"/>
  <c r="C455" i="8" s="1"/>
  <c r="H128" i="8"/>
  <c r="E380" i="8" s="1"/>
  <c r="F380" i="8" s="1"/>
  <c r="E128" i="8"/>
  <c r="G128" i="8" s="1"/>
  <c r="D128" i="8"/>
  <c r="B128" i="8"/>
  <c r="C454" i="8" s="1"/>
  <c r="H127" i="8"/>
  <c r="E379" i="8" s="1"/>
  <c r="H126" i="8"/>
  <c r="E378" i="8" s="1"/>
  <c r="H125" i="8"/>
  <c r="E377" i="8" s="1"/>
  <c r="H124" i="8"/>
  <c r="E376" i="8" s="1"/>
  <c r="C64" i="8"/>
  <c r="C63" i="8"/>
  <c r="F277" i="8" s="1"/>
  <c r="F301" i="8" s="1"/>
  <c r="E461" i="8" s="1"/>
  <c r="C62" i="8"/>
  <c r="C61" i="8"/>
  <c r="C60" i="8"/>
  <c r="C59" i="8"/>
  <c r="C58" i="8"/>
  <c r="F37" i="8"/>
  <c r="F230" i="8" s="1"/>
  <c r="F36" i="8"/>
  <c r="F229" i="8" s="1"/>
  <c r="F35" i="8"/>
  <c r="F228" i="8" s="1"/>
  <c r="F34" i="8"/>
  <c r="F227" i="8" s="1"/>
  <c r="D376" i="8" s="1"/>
  <c r="F376" i="8" s="1"/>
  <c r="F464" i="7"/>
  <c r="D464" i="7"/>
  <c r="F463" i="7"/>
  <c r="F462" i="7"/>
  <c r="D462" i="7"/>
  <c r="F461" i="7"/>
  <c r="F460" i="7"/>
  <c r="D460" i="7"/>
  <c r="F459" i="7"/>
  <c r="F458" i="7"/>
  <c r="F457" i="7"/>
  <c r="C457" i="7"/>
  <c r="F456" i="7"/>
  <c r="C456" i="7"/>
  <c r="E443" i="7"/>
  <c r="E436" i="7"/>
  <c r="E433" i="7"/>
  <c r="D422" i="7"/>
  <c r="D410" i="7"/>
  <c r="D405" i="7"/>
  <c r="E403" i="7"/>
  <c r="D392" i="7"/>
  <c r="D387" i="7"/>
  <c r="D383" i="7"/>
  <c r="C383" i="7"/>
  <c r="A383" i="7"/>
  <c r="D382" i="7"/>
  <c r="C382" i="7"/>
  <c r="A382" i="7"/>
  <c r="D368" i="7"/>
  <c r="F367" i="7"/>
  <c r="C434" i="7" s="1"/>
  <c r="E364" i="7"/>
  <c r="E429" i="7" s="1"/>
  <c r="E449" i="7" s="1"/>
  <c r="E363" i="7"/>
  <c r="E428" i="7" s="1"/>
  <c r="E448" i="7" s="1"/>
  <c r="F355" i="7"/>
  <c r="D355" i="7"/>
  <c r="F353" i="7"/>
  <c r="G353" i="7" s="1"/>
  <c r="E476" i="7" s="1"/>
  <c r="E350" i="7"/>
  <c r="F343" i="7"/>
  <c r="F342" i="7"/>
  <c r="F341" i="7"/>
  <c r="G341" i="7" s="1"/>
  <c r="D415" i="7" s="1"/>
  <c r="F340" i="7"/>
  <c r="E337" i="7"/>
  <c r="G343" i="7" s="1"/>
  <c r="D417" i="7" s="1"/>
  <c r="F333" i="7"/>
  <c r="F332" i="7"/>
  <c r="G332" i="7" s="1"/>
  <c r="D398" i="7" s="1"/>
  <c r="F331" i="7"/>
  <c r="F330" i="7"/>
  <c r="E327" i="7"/>
  <c r="F323" i="7"/>
  <c r="F322" i="7"/>
  <c r="G322" i="7" s="1"/>
  <c r="F321" i="7"/>
  <c r="D321" i="7"/>
  <c r="F320" i="7"/>
  <c r="F319" i="7"/>
  <c r="E316" i="7"/>
  <c r="F313" i="7"/>
  <c r="G300" i="7"/>
  <c r="G286" i="7"/>
  <c r="G285" i="7"/>
  <c r="G299" i="7" s="1"/>
  <c r="G284" i="7"/>
  <c r="G298" i="7" s="1"/>
  <c r="G280" i="7"/>
  <c r="G304" i="7" s="1"/>
  <c r="F280" i="7"/>
  <c r="F304" i="7" s="1"/>
  <c r="E464" i="7" s="1"/>
  <c r="G279" i="7"/>
  <c r="G303" i="7" s="1"/>
  <c r="G278" i="7"/>
  <c r="G302" i="7" s="1"/>
  <c r="G277" i="7"/>
  <c r="G301" i="7" s="1"/>
  <c r="G276" i="7"/>
  <c r="G272" i="7"/>
  <c r="G271" i="7"/>
  <c r="G270" i="7"/>
  <c r="G269" i="7"/>
  <c r="G268" i="7"/>
  <c r="G267" i="7"/>
  <c r="G266" i="7"/>
  <c r="F263" i="7"/>
  <c r="D420" i="7" s="1"/>
  <c r="F249" i="7"/>
  <c r="F248" i="7"/>
  <c r="D402" i="7" s="1"/>
  <c r="F247" i="7"/>
  <c r="D401" i="7" s="1"/>
  <c r="F401" i="7" s="1"/>
  <c r="F232" i="7"/>
  <c r="D381" i="7" s="1"/>
  <c r="F231" i="7"/>
  <c r="D380" i="7" s="1"/>
  <c r="E224" i="7"/>
  <c r="F223" i="7"/>
  <c r="E220" i="7"/>
  <c r="H210" i="7"/>
  <c r="E210" i="7"/>
  <c r="C210" i="7"/>
  <c r="H209" i="7"/>
  <c r="E209" i="7"/>
  <c r="C209" i="7"/>
  <c r="H208" i="7"/>
  <c r="E208" i="7"/>
  <c r="C208" i="7"/>
  <c r="H205" i="7"/>
  <c r="E205" i="7"/>
  <c r="F272" i="7" s="1"/>
  <c r="C205" i="7"/>
  <c r="H204" i="7"/>
  <c r="E204" i="7"/>
  <c r="F279" i="7" s="1"/>
  <c r="F303" i="7" s="1"/>
  <c r="E463" i="7" s="1"/>
  <c r="C204" i="7"/>
  <c r="H203" i="7"/>
  <c r="E203" i="7"/>
  <c r="C203" i="7"/>
  <c r="H202" i="7"/>
  <c r="E202" i="7"/>
  <c r="C202" i="7"/>
  <c r="H201" i="7"/>
  <c r="E201" i="7"/>
  <c r="C201" i="7"/>
  <c r="F197" i="7"/>
  <c r="F228" i="7" s="1"/>
  <c r="F183" i="7"/>
  <c r="G165" i="7"/>
  <c r="F165" i="7"/>
  <c r="E165" i="7"/>
  <c r="G164" i="7"/>
  <c r="G166" i="7" s="1"/>
  <c r="F163" i="7"/>
  <c r="F166" i="7" s="1"/>
  <c r="F170" i="7" s="1"/>
  <c r="F171" i="7" s="1"/>
  <c r="E162" i="7"/>
  <c r="E166" i="7" s="1"/>
  <c r="H148" i="7"/>
  <c r="E386" i="7" s="1"/>
  <c r="H147" i="7"/>
  <c r="E385" i="7" s="1"/>
  <c r="H142" i="7"/>
  <c r="E402" i="7" s="1"/>
  <c r="G142" i="7"/>
  <c r="H141" i="7"/>
  <c r="E401" i="7" s="1"/>
  <c r="G141" i="7"/>
  <c r="H140" i="7"/>
  <c r="G140" i="7"/>
  <c r="H139" i="7"/>
  <c r="E420" i="7" s="1"/>
  <c r="G139" i="7"/>
  <c r="H138" i="7"/>
  <c r="E138" i="7"/>
  <c r="G138" i="7" s="1"/>
  <c r="D138" i="7"/>
  <c r="C138" i="7"/>
  <c r="B138" i="7"/>
  <c r="C464" i="7" s="1"/>
  <c r="H137" i="7"/>
  <c r="E137" i="7"/>
  <c r="G137" i="7" s="1"/>
  <c r="D137" i="7"/>
  <c r="C137" i="7"/>
  <c r="D463" i="7" s="1"/>
  <c r="B137" i="7"/>
  <c r="C463" i="7" s="1"/>
  <c r="H136" i="7"/>
  <c r="E136" i="7"/>
  <c r="G136" i="7" s="1"/>
  <c r="D136" i="7"/>
  <c r="C136" i="7"/>
  <c r="B136" i="7"/>
  <c r="C462" i="7" s="1"/>
  <c r="H135" i="7"/>
  <c r="E135" i="7"/>
  <c r="G135" i="7" s="1"/>
  <c r="D135" i="7"/>
  <c r="C135" i="7"/>
  <c r="D461" i="7" s="1"/>
  <c r="B135" i="7"/>
  <c r="C461" i="7" s="1"/>
  <c r="H134" i="7"/>
  <c r="E134" i="7"/>
  <c r="G134" i="7" s="1"/>
  <c r="D134" i="7"/>
  <c r="C134" i="7"/>
  <c r="B134" i="7"/>
  <c r="C460" i="7" s="1"/>
  <c r="H133" i="7"/>
  <c r="E133" i="7"/>
  <c r="G133" i="7" s="1"/>
  <c r="D133" i="7"/>
  <c r="C133" i="7"/>
  <c r="D459" i="7" s="1"/>
  <c r="B133" i="7"/>
  <c r="C459" i="7" s="1"/>
  <c r="H132" i="7"/>
  <c r="E132" i="7"/>
  <c r="G132" i="7" s="1"/>
  <c r="D132" i="7"/>
  <c r="C132" i="7"/>
  <c r="D458" i="7" s="1"/>
  <c r="B132" i="7"/>
  <c r="C458" i="7" s="1"/>
  <c r="H131" i="7"/>
  <c r="E383" i="7" s="1"/>
  <c r="E131" i="7"/>
  <c r="G131" i="7" s="1"/>
  <c r="D131" i="7"/>
  <c r="B131" i="7"/>
  <c r="H130" i="7"/>
  <c r="E382" i="7" s="1"/>
  <c r="E130" i="7"/>
  <c r="G130" i="7" s="1"/>
  <c r="D130" i="7"/>
  <c r="B130" i="7"/>
  <c r="H129" i="7"/>
  <c r="E381" i="7" s="1"/>
  <c r="G129" i="7"/>
  <c r="H128" i="7"/>
  <c r="E380" i="7" s="1"/>
  <c r="G128" i="7"/>
  <c r="H127" i="7"/>
  <c r="E379" i="7" s="1"/>
  <c r="G127" i="7"/>
  <c r="H126" i="7"/>
  <c r="E378" i="7" s="1"/>
  <c r="G126" i="7"/>
  <c r="C64" i="7"/>
  <c r="C63" i="7"/>
  <c r="C62" i="7"/>
  <c r="C61" i="7"/>
  <c r="F269" i="7" s="1"/>
  <c r="C60" i="7"/>
  <c r="C59" i="7"/>
  <c r="F267" i="7" s="1"/>
  <c r="C58" i="7"/>
  <c r="F37" i="7"/>
  <c r="F36" i="7"/>
  <c r="F35" i="7"/>
  <c r="F230" i="7" s="1"/>
  <c r="F34" i="7"/>
  <c r="F229" i="7" s="1"/>
  <c r="F381" i="7" l="1"/>
  <c r="G340" i="7"/>
  <c r="D414" i="7" s="1"/>
  <c r="F253" i="7"/>
  <c r="E467" i="7" s="1"/>
  <c r="G319" i="7"/>
  <c r="G321" i="8"/>
  <c r="G170" i="7"/>
  <c r="G171" i="7" s="1"/>
  <c r="G177" i="7" s="1"/>
  <c r="F278" i="8"/>
  <c r="F302" i="8" s="1"/>
  <c r="E462" i="8" s="1"/>
  <c r="F254" i="7"/>
  <c r="E468" i="7" s="1"/>
  <c r="G319" i="8"/>
  <c r="F274" i="8"/>
  <c r="F298" i="8" s="1"/>
  <c r="E458" i="8" s="1"/>
  <c r="G329" i="8"/>
  <c r="D395" i="8" s="1"/>
  <c r="F268" i="7"/>
  <c r="F276" i="7" s="1"/>
  <c r="F300" i="7" s="1"/>
  <c r="E460" i="7" s="1"/>
  <c r="F276" i="8"/>
  <c r="F300" i="8" s="1"/>
  <c r="E460" i="8" s="1"/>
  <c r="G320" i="7"/>
  <c r="G323" i="7"/>
  <c r="E474" i="7" s="1"/>
  <c r="F400" i="8"/>
  <c r="G351" i="8"/>
  <c r="E474" i="8" s="1"/>
  <c r="G321" i="7"/>
  <c r="D374" i="7" s="1"/>
  <c r="G333" i="7"/>
  <c r="D399" i="7" s="1"/>
  <c r="G331" i="8"/>
  <c r="D397" i="8" s="1"/>
  <c r="F397" i="8" s="1"/>
  <c r="G318" i="8"/>
  <c r="G353" i="8"/>
  <c r="G330" i="7"/>
  <c r="D396" i="7" s="1"/>
  <c r="F269" i="8"/>
  <c r="F252" i="8"/>
  <c r="E466" i="8" s="1"/>
  <c r="G341" i="8"/>
  <c r="D415" i="8" s="1"/>
  <c r="F381" i="8"/>
  <c r="G355" i="7"/>
  <c r="F168" i="8"/>
  <c r="F169" i="8" s="1"/>
  <c r="F253" i="8"/>
  <c r="E464" i="8" s="1"/>
  <c r="G338" i="8"/>
  <c r="D412" i="8" s="1"/>
  <c r="D378" i="8"/>
  <c r="F378" i="8" s="1"/>
  <c r="F237" i="8"/>
  <c r="E452" i="8" s="1"/>
  <c r="F296" i="8"/>
  <c r="E456" i="8" s="1"/>
  <c r="F238" i="8"/>
  <c r="E453" i="8" s="1"/>
  <c r="D379" i="8"/>
  <c r="F379" i="8" s="1"/>
  <c r="E415" i="8"/>
  <c r="F415" i="8" s="1"/>
  <c r="E373" i="8"/>
  <c r="F373" i="8" s="1"/>
  <c r="E397" i="8"/>
  <c r="F401" i="8"/>
  <c r="D371" i="8"/>
  <c r="F418" i="8"/>
  <c r="E455" i="8"/>
  <c r="E454" i="8"/>
  <c r="D374" i="8"/>
  <c r="E472" i="8"/>
  <c r="E475" i="8"/>
  <c r="D384" i="8"/>
  <c r="F384" i="8" s="1"/>
  <c r="D377" i="8"/>
  <c r="F377" i="8" s="1"/>
  <c r="F236" i="8"/>
  <c r="E451" i="8" s="1"/>
  <c r="G176" i="8"/>
  <c r="G174" i="8"/>
  <c r="F399" i="8"/>
  <c r="D372" i="8"/>
  <c r="E168" i="8"/>
  <c r="E169" i="8" s="1"/>
  <c r="F264" i="8"/>
  <c r="F275" i="8"/>
  <c r="F299" i="8" s="1"/>
  <c r="E459" i="8" s="1"/>
  <c r="F265" i="8"/>
  <c r="F283" i="8" s="1"/>
  <c r="F297" i="8" s="1"/>
  <c r="E457" i="8" s="1"/>
  <c r="F235" i="8"/>
  <c r="E450" i="8" s="1"/>
  <c r="F251" i="8"/>
  <c r="E465" i="8" s="1"/>
  <c r="G339" i="8"/>
  <c r="D413" i="8" s="1"/>
  <c r="E417" i="7"/>
  <c r="E375" i="7"/>
  <c r="E399" i="7"/>
  <c r="G176" i="7"/>
  <c r="G178" i="7"/>
  <c r="F417" i="7"/>
  <c r="F238" i="7"/>
  <c r="E453" i="7" s="1"/>
  <c r="D379" i="7"/>
  <c r="F379" i="7" s="1"/>
  <c r="D386" i="7"/>
  <c r="F386" i="7" s="1"/>
  <c r="E477" i="7"/>
  <c r="F286" i="7"/>
  <c r="E457" i="7"/>
  <c r="E456" i="7"/>
  <c r="F239" i="7"/>
  <c r="E454" i="7" s="1"/>
  <c r="D403" i="7"/>
  <c r="F403" i="7" s="1"/>
  <c r="F255" i="7"/>
  <c r="E466" i="7" s="1"/>
  <c r="F420" i="7"/>
  <c r="F271" i="7"/>
  <c r="G342" i="7"/>
  <c r="D416" i="7" s="1"/>
  <c r="D372" i="7"/>
  <c r="F383" i="7"/>
  <c r="F402" i="7"/>
  <c r="H401" i="7" s="1"/>
  <c r="F270" i="7"/>
  <c r="F278" i="7" s="1"/>
  <c r="F302" i="7" s="1"/>
  <c r="E462" i="7" s="1"/>
  <c r="F285" i="7"/>
  <c r="F299" i="7" s="1"/>
  <c r="E459" i="7" s="1"/>
  <c r="F240" i="7"/>
  <c r="E455" i="7" s="1"/>
  <c r="D375" i="7"/>
  <c r="F375" i="7" s="1"/>
  <c r="D373" i="7"/>
  <c r="F382" i="7"/>
  <c r="D378" i="7"/>
  <c r="F378" i="7" s="1"/>
  <c r="F237" i="7"/>
  <c r="E452" i="7" s="1"/>
  <c r="E170" i="7"/>
  <c r="E171" i="7" s="1"/>
  <c r="F277" i="7"/>
  <c r="F301" i="7" s="1"/>
  <c r="E461" i="7" s="1"/>
  <c r="F284" i="7"/>
  <c r="F380" i="7"/>
  <c r="F266" i="7"/>
  <c r="G331" i="7"/>
  <c r="D397" i="7" s="1"/>
  <c r="D385" i="7"/>
  <c r="F385" i="7" s="1"/>
  <c r="D383" i="8" l="1"/>
  <c r="F383" i="8" s="1"/>
  <c r="D376" i="7"/>
  <c r="H376" i="8"/>
  <c r="H399" i="8"/>
  <c r="F399" i="7"/>
  <c r="E419" i="7"/>
  <c r="F260" i="8"/>
  <c r="D417" i="8" s="1"/>
  <c r="F303" i="8"/>
  <c r="E463" i="8" s="1"/>
  <c r="G172" i="8"/>
  <c r="G177" i="8"/>
  <c r="E374" i="8" s="1"/>
  <c r="G178" i="8"/>
  <c r="G173" i="8"/>
  <c r="F374" i="8"/>
  <c r="E417" i="8"/>
  <c r="E437" i="8"/>
  <c r="E414" i="8"/>
  <c r="F414" i="8" s="1"/>
  <c r="E372" i="8"/>
  <c r="F372" i="8" s="1"/>
  <c r="E396" i="8"/>
  <c r="F396" i="8" s="1"/>
  <c r="E469" i="8"/>
  <c r="E398" i="7"/>
  <c r="F398" i="7" s="1"/>
  <c r="E416" i="7"/>
  <c r="E374" i="7"/>
  <c r="F374" i="7" s="1"/>
  <c r="F298" i="7"/>
  <c r="E458" i="7" s="1"/>
  <c r="E439" i="7"/>
  <c r="F305" i="7"/>
  <c r="E465" i="7" s="1"/>
  <c r="F262" i="7"/>
  <c r="D419" i="7" s="1"/>
  <c r="F419" i="7" s="1"/>
  <c r="H419" i="7" s="1"/>
  <c r="G180" i="7"/>
  <c r="G179" i="7"/>
  <c r="E376" i="7" s="1"/>
  <c r="F376" i="7" s="1"/>
  <c r="G175" i="7"/>
  <c r="G174" i="7"/>
  <c r="F416" i="7"/>
  <c r="H378" i="7"/>
  <c r="F417" i="8" l="1"/>
  <c r="H417" i="8" s="1"/>
  <c r="E394" i="8"/>
  <c r="F394" i="8" s="1"/>
  <c r="E412" i="8"/>
  <c r="F412" i="8" s="1"/>
  <c r="E370" i="8"/>
  <c r="F370" i="8" s="1"/>
  <c r="E468" i="8"/>
  <c r="E471" i="8"/>
  <c r="E470" i="8"/>
  <c r="E395" i="8"/>
  <c r="F395" i="8" s="1"/>
  <c r="E371" i="8"/>
  <c r="F371" i="8" s="1"/>
  <c r="E413" i="8"/>
  <c r="F413" i="8" s="1"/>
  <c r="E473" i="7"/>
  <c r="E470" i="7"/>
  <c r="E396" i="7"/>
  <c r="F396" i="7" s="1"/>
  <c r="E414" i="7"/>
  <c r="F414" i="7" s="1"/>
  <c r="E372" i="7"/>
  <c r="F372" i="7" s="1"/>
  <c r="E471" i="7"/>
  <c r="E397" i="7"/>
  <c r="F397" i="7" s="1"/>
  <c r="E415" i="7"/>
  <c r="F415" i="7" s="1"/>
  <c r="E373" i="7"/>
  <c r="F373" i="7" s="1"/>
  <c r="E472" i="7"/>
  <c r="H372" i="7" l="1"/>
  <c r="H394" i="8"/>
  <c r="H370" i="8"/>
  <c r="H412" i="8"/>
  <c r="E403" i="8"/>
  <c r="F403" i="8" s="1"/>
  <c r="H403" i="8" s="1"/>
  <c r="H391" i="8"/>
  <c r="F434" i="8" s="1"/>
  <c r="H434" i="8" s="1"/>
  <c r="H396" i="7"/>
  <c r="E387" i="7"/>
  <c r="F387" i="7" s="1"/>
  <c r="H385" i="7" s="1"/>
  <c r="H369" i="7" s="1"/>
  <c r="F433" i="7" s="1"/>
  <c r="H433" i="7" s="1"/>
  <c r="H414" i="7"/>
  <c r="E420" i="8" l="1"/>
  <c r="F420" i="8" s="1"/>
  <c r="H420" i="8" s="1"/>
  <c r="H409" i="8" s="1"/>
  <c r="F437" i="8" s="1"/>
  <c r="H437" i="8" s="1"/>
  <c r="E385" i="8"/>
  <c r="F385" i="8" s="1"/>
  <c r="H383" i="8" s="1"/>
  <c r="H367" i="8"/>
  <c r="F431" i="8" s="1"/>
  <c r="H431" i="8" s="1"/>
  <c r="E422" i="7"/>
  <c r="F422" i="7" s="1"/>
  <c r="H422" i="7" s="1"/>
  <c r="H411" i="7" s="1"/>
  <c r="F439" i="7" s="1"/>
  <c r="H439" i="7" s="1"/>
  <c r="E405" i="7"/>
  <c r="F405" i="7" s="1"/>
  <c r="H405" i="7" s="1"/>
  <c r="H393" i="7" s="1"/>
  <c r="F436" i="7" s="1"/>
  <c r="H436" i="7" s="1"/>
  <c r="H442" i="7" l="1"/>
  <c r="H440" i="8"/>
  <c r="E322" i="6" l="1"/>
  <c r="C320" i="6"/>
  <c r="C319" i="6"/>
  <c r="E318" i="6"/>
  <c r="C317" i="6"/>
  <c r="C316" i="6"/>
  <c r="E315" i="6"/>
  <c r="D304" i="6"/>
  <c r="E303" i="6"/>
  <c r="E301" i="6"/>
  <c r="D289" i="6"/>
  <c r="G288" i="6"/>
  <c r="E288" i="6"/>
  <c r="D285" i="6"/>
  <c r="E282" i="6"/>
  <c r="E280" i="6"/>
  <c r="D270" i="6"/>
  <c r="H269" i="6"/>
  <c r="F269" i="6"/>
  <c r="E266" i="6"/>
  <c r="E311" i="6" s="1"/>
  <c r="E329" i="6" s="1"/>
  <c r="E265" i="6"/>
  <c r="E310" i="6" s="1"/>
  <c r="E328" i="6" s="1"/>
  <c r="F257" i="6"/>
  <c r="C257" i="6"/>
  <c r="E254" i="6"/>
  <c r="F250" i="6"/>
  <c r="G250" i="6" s="1"/>
  <c r="E247" i="6"/>
  <c r="F241" i="6"/>
  <c r="F240" i="6"/>
  <c r="D240" i="6"/>
  <c r="F239" i="6"/>
  <c r="G239" i="6" s="1"/>
  <c r="E356" i="6" s="1"/>
  <c r="F238" i="6"/>
  <c r="F237" i="6"/>
  <c r="G237" i="6" s="1"/>
  <c r="C237" i="6"/>
  <c r="E234" i="6"/>
  <c r="F231" i="6"/>
  <c r="G231" i="6" s="1"/>
  <c r="F230" i="6"/>
  <c r="G230" i="6" s="1"/>
  <c r="D230" i="6"/>
  <c r="F229" i="6"/>
  <c r="G229" i="6" s="1"/>
  <c r="D229" i="6"/>
  <c r="F228" i="6"/>
  <c r="F227" i="6"/>
  <c r="C227" i="6"/>
  <c r="C250" i="6" s="1"/>
  <c r="E224" i="6"/>
  <c r="F221" i="6"/>
  <c r="E202" i="6"/>
  <c r="E190" i="6"/>
  <c r="G190" i="6" s="1"/>
  <c r="G189" i="6"/>
  <c r="E170" i="6"/>
  <c r="E158" i="6"/>
  <c r="G157" i="6" s="1"/>
  <c r="E148" i="6"/>
  <c r="E144" i="6"/>
  <c r="E149" i="6" s="1"/>
  <c r="E143" i="6"/>
  <c r="E137" i="6"/>
  <c r="E132" i="6"/>
  <c r="E133" i="6" s="1"/>
  <c r="F161" i="6" s="1"/>
  <c r="F109" i="6"/>
  <c r="G92" i="6"/>
  <c r="G91" i="6"/>
  <c r="F91" i="6"/>
  <c r="E91" i="6"/>
  <c r="G90" i="6"/>
  <c r="F89" i="6"/>
  <c r="F92" i="6" s="1"/>
  <c r="E88" i="6"/>
  <c r="E92" i="6" s="1"/>
  <c r="H74" i="6"/>
  <c r="E284" i="6" s="1"/>
  <c r="H69" i="6"/>
  <c r="H68" i="6"/>
  <c r="E300" i="6" s="1"/>
  <c r="H67" i="6"/>
  <c r="E281" i="6" s="1"/>
  <c r="H66" i="6"/>
  <c r="E299" i="6" s="1"/>
  <c r="B52" i="6"/>
  <c r="D239" i="6" s="1"/>
  <c r="B50" i="6"/>
  <c r="G240" i="6" l="1"/>
  <c r="G191" i="6"/>
  <c r="G96" i="6"/>
  <c r="G97" i="6" s="1"/>
  <c r="G103" i="6" s="1"/>
  <c r="E277" i="6" s="1"/>
  <c r="E296" i="6" s="1"/>
  <c r="G238" i="6"/>
  <c r="G241" i="6"/>
  <c r="E165" i="6"/>
  <c r="E171" i="6" s="1"/>
  <c r="E179" i="6" s="1"/>
  <c r="E334" i="6" s="1"/>
  <c r="G227" i="6"/>
  <c r="E338" i="6" s="1"/>
  <c r="G257" i="6"/>
  <c r="E360" i="6" s="1"/>
  <c r="G228" i="6"/>
  <c r="D275" i="6" s="1"/>
  <c r="E342" i="6"/>
  <c r="D278" i="6"/>
  <c r="E355" i="6"/>
  <c r="D294" i="6"/>
  <c r="D296" i="6"/>
  <c r="F296" i="6" s="1"/>
  <c r="E357" i="6"/>
  <c r="E340" i="6"/>
  <c r="D276" i="6"/>
  <c r="E358" i="6"/>
  <c r="D297" i="6"/>
  <c r="E341" i="6"/>
  <c r="D277" i="6"/>
  <c r="F277" i="6" s="1"/>
  <c r="E354" i="6"/>
  <c r="D293" i="6"/>
  <c r="E344" i="6"/>
  <c r="D284" i="6"/>
  <c r="F284" i="6" s="1"/>
  <c r="D295" i="6"/>
  <c r="E96" i="6"/>
  <c r="E97" i="6" s="1"/>
  <c r="G158" i="6"/>
  <c r="E166" i="6" s="1"/>
  <c r="E172" i="6" s="1"/>
  <c r="G159" i="6"/>
  <c r="E167" i="6" s="1"/>
  <c r="E173" i="6" s="1"/>
  <c r="F193" i="6"/>
  <c r="E198" i="6" s="1"/>
  <c r="E204" i="6" s="1"/>
  <c r="F96" i="6"/>
  <c r="F97" i="6" s="1"/>
  <c r="E138" i="6"/>
  <c r="D280" i="6" l="1"/>
  <c r="F280" i="6" s="1"/>
  <c r="E199" i="6"/>
  <c r="E205" i="6" s="1"/>
  <c r="E339" i="6"/>
  <c r="D303" i="6"/>
  <c r="F303" i="6" s="1"/>
  <c r="D274" i="6"/>
  <c r="E212" i="6"/>
  <c r="E351" i="6" s="1"/>
  <c r="D300" i="6"/>
  <c r="F300" i="6" s="1"/>
  <c r="D281" i="6"/>
  <c r="F281" i="6" s="1"/>
  <c r="H280" i="6" s="1"/>
  <c r="E180" i="6"/>
  <c r="E335" i="6" s="1"/>
  <c r="E213" i="6"/>
  <c r="E352" i="6" s="1"/>
  <c r="D301" i="6"/>
  <c r="F301" i="6" s="1"/>
  <c r="G104" i="6"/>
  <c r="G102" i="6"/>
  <c r="E276" i="6" s="1"/>
  <c r="E295" i="6" s="1"/>
  <c r="F295" i="6" s="1"/>
  <c r="G100" i="6"/>
  <c r="E274" i="6" s="1"/>
  <c r="E293" i="6" s="1"/>
  <c r="G106" i="6"/>
  <c r="G105" i="6"/>
  <c r="E278" i="6" s="1"/>
  <c r="E297" i="6" s="1"/>
  <c r="F297" i="6" s="1"/>
  <c r="G101" i="6"/>
  <c r="E275" i="6" s="1"/>
  <c r="E294" i="6" s="1"/>
  <c r="F294" i="6" s="1"/>
  <c r="F293" i="6"/>
  <c r="E197" i="6"/>
  <c r="E203" i="6" s="1"/>
  <c r="F278" i="6"/>
  <c r="D282" i="6"/>
  <c r="F282" i="6" s="1"/>
  <c r="E181" i="6"/>
  <c r="E336" i="6" s="1"/>
  <c r="F274" i="6" l="1"/>
  <c r="F276" i="6"/>
  <c r="F275" i="6"/>
  <c r="E211" i="6"/>
  <c r="E350" i="6" s="1"/>
  <c r="D299" i="6"/>
  <c r="F299" i="6" s="1"/>
  <c r="H299" i="6" s="1"/>
  <c r="H274" i="6"/>
  <c r="H293" i="6"/>
  <c r="E285" i="6" l="1"/>
  <c r="F285" i="6" s="1"/>
  <c r="H284" i="6" s="1"/>
  <c r="H271" i="6" s="1"/>
  <c r="F315" i="6" s="1"/>
  <c r="H315" i="6" s="1"/>
  <c r="E304" i="6"/>
  <c r="F304" i="6" s="1"/>
  <c r="H303" i="6" s="1"/>
  <c r="H290" i="6" s="1"/>
  <c r="F318" i="6" s="1"/>
  <c r="H318" i="6" s="1"/>
  <c r="H321" i="6" l="1"/>
  <c r="E325" i="5"/>
  <c r="D323" i="5"/>
  <c r="D322" i="5"/>
  <c r="D321" i="5"/>
  <c r="E313" i="5"/>
  <c r="E321" i="5" s="1"/>
  <c r="E305" i="5"/>
  <c r="E292" i="5"/>
  <c r="E317" i="5" s="1"/>
  <c r="E331" i="5" s="1"/>
  <c r="E291" i="5"/>
  <c r="E316" i="5" s="1"/>
  <c r="E330" i="5" s="1"/>
  <c r="E284" i="5"/>
  <c r="D284" i="5"/>
  <c r="E283" i="5"/>
  <c r="D283" i="5"/>
  <c r="F283" i="5" s="1"/>
  <c r="E282" i="5"/>
  <c r="D282" i="5"/>
  <c r="F282" i="5" s="1"/>
  <c r="E281" i="5"/>
  <c r="D281" i="5"/>
  <c r="F281" i="5" s="1"/>
  <c r="D297" i="5" s="1"/>
  <c r="E256" i="5"/>
  <c r="E255" i="5"/>
  <c r="E237" i="5"/>
  <c r="G236" i="5" s="1"/>
  <c r="E241" i="5" s="1"/>
  <c r="D224" i="5"/>
  <c r="F224" i="5" s="1"/>
  <c r="E215" i="5"/>
  <c r="D202" i="5"/>
  <c r="D201" i="5"/>
  <c r="E186" i="5"/>
  <c r="D183" i="5"/>
  <c r="D187" i="5" s="1"/>
  <c r="D176" i="5"/>
  <c r="D174" i="5"/>
  <c r="E171" i="5"/>
  <c r="F142" i="5"/>
  <c r="G124" i="5"/>
  <c r="F124" i="5"/>
  <c r="E124" i="5"/>
  <c r="G123" i="5"/>
  <c r="F122" i="5"/>
  <c r="F125" i="5" s="1"/>
  <c r="E121" i="5"/>
  <c r="H107" i="5"/>
  <c r="H106" i="5"/>
  <c r="E304" i="5" s="1"/>
  <c r="H105" i="5"/>
  <c r="E303" i="5" s="1"/>
  <c r="H104" i="5"/>
  <c r="E302" i="5" s="1"/>
  <c r="E73" i="5"/>
  <c r="F71" i="5"/>
  <c r="C71" i="5"/>
  <c r="E201" i="5" s="1"/>
  <c r="D204" i="5" s="1"/>
  <c r="D173" i="5" l="1"/>
  <c r="G125" i="5"/>
  <c r="G129" i="5" s="1"/>
  <c r="G130" i="5" s="1"/>
  <c r="G136" i="5" s="1"/>
  <c r="E300" i="5" s="1"/>
  <c r="F284" i="5"/>
  <c r="D175" i="5"/>
  <c r="D178" i="5" s="1"/>
  <c r="E340" i="5"/>
  <c r="D298" i="5"/>
  <c r="E243" i="5"/>
  <c r="E342" i="5"/>
  <c r="D300" i="5"/>
  <c r="D299" i="5"/>
  <c r="E341" i="5"/>
  <c r="E125" i="5"/>
  <c r="E129" i="5" s="1"/>
  <c r="E130" i="5" s="1"/>
  <c r="F129" i="5"/>
  <c r="F130" i="5" s="1"/>
  <c r="G238" i="5"/>
  <c r="E339" i="5"/>
  <c r="G237" i="5"/>
  <c r="E242" i="5" s="1"/>
  <c r="F300" i="5" l="1"/>
  <c r="G133" i="5"/>
  <c r="E297" i="5" s="1"/>
  <c r="F297" i="5" s="1"/>
  <c r="G139" i="5"/>
  <c r="G138" i="5"/>
  <c r="G134" i="5"/>
  <c r="E298" i="5" s="1"/>
  <c r="G137" i="5"/>
  <c r="G135" i="5"/>
  <c r="E299" i="5" s="1"/>
  <c r="D205" i="5"/>
  <c r="D207" i="5" s="1"/>
  <c r="E246" i="5"/>
  <c r="E252" i="5" s="1"/>
  <c r="E261" i="5" s="1"/>
  <c r="E181" i="5"/>
  <c r="E183" i="5" s="1"/>
  <c r="E187" i="5" s="1"/>
  <c r="F299" i="5"/>
  <c r="F298" i="5"/>
  <c r="H297" i="5" l="1"/>
  <c r="E269" i="5"/>
  <c r="E337" i="5" s="1"/>
  <c r="D305" i="5"/>
  <c r="F305" i="5" s="1"/>
  <c r="E247" i="5"/>
  <c r="E210" i="5"/>
  <c r="E212" i="5"/>
  <c r="E216" i="5" s="1"/>
  <c r="E307" i="5"/>
  <c r="F307" i="5" s="1"/>
  <c r="H307" i="5" s="1"/>
  <c r="E251" i="5" l="1"/>
  <c r="E260" i="5" s="1"/>
  <c r="E249" i="5"/>
  <c r="E258" i="5" s="1"/>
  <c r="E250" i="5"/>
  <c r="E259" i="5" s="1"/>
  <c r="D304" i="5" l="1"/>
  <c r="F304" i="5" s="1"/>
  <c r="E268" i="5"/>
  <c r="E336" i="5" s="1"/>
  <c r="E267" i="5"/>
  <c r="E335" i="5" s="1"/>
  <c r="D303" i="5"/>
  <c r="F303" i="5" s="1"/>
  <c r="D302" i="5"/>
  <c r="F302" i="5" s="1"/>
  <c r="E266" i="5"/>
  <c r="E334" i="5" s="1"/>
  <c r="H302" i="5" l="1"/>
  <c r="H294" i="5" s="1"/>
  <c r="E314" i="5" s="1"/>
  <c r="F321" i="5" s="1"/>
  <c r="H321" i="5" s="1"/>
  <c r="H324" i="5" s="1"/>
  <c r="F328" i="4" l="1"/>
  <c r="C328" i="4"/>
  <c r="F327" i="4"/>
  <c r="C327" i="4"/>
  <c r="D311" i="4"/>
  <c r="E307" i="4"/>
  <c r="B307" i="4"/>
  <c r="E304" i="4"/>
  <c r="D291" i="4"/>
  <c r="E287" i="4"/>
  <c r="D278" i="4"/>
  <c r="D274" i="4"/>
  <c r="D271" i="4"/>
  <c r="C271" i="4"/>
  <c r="A271" i="4"/>
  <c r="D270" i="4"/>
  <c r="F270" i="4" s="1"/>
  <c r="C270" i="4"/>
  <c r="A270" i="4"/>
  <c r="D256" i="4"/>
  <c r="E252" i="4"/>
  <c r="E299" i="4" s="1"/>
  <c r="E319" i="4" s="1"/>
  <c r="E251" i="4"/>
  <c r="E298" i="4" s="1"/>
  <c r="E318" i="4" s="1"/>
  <c r="F243" i="4"/>
  <c r="G243" i="4" s="1"/>
  <c r="E339" i="4" s="1"/>
  <c r="C243" i="4"/>
  <c r="E240" i="4"/>
  <c r="F233" i="4"/>
  <c r="G233" i="4" s="1"/>
  <c r="D285" i="4" s="1"/>
  <c r="F232" i="4"/>
  <c r="G232" i="4" s="1"/>
  <c r="D284" i="4" s="1"/>
  <c r="F231" i="4"/>
  <c r="G231" i="4" s="1"/>
  <c r="D283" i="4" s="1"/>
  <c r="F230" i="4"/>
  <c r="G230" i="4" s="1"/>
  <c r="D282" i="4" s="1"/>
  <c r="C230" i="4"/>
  <c r="E227" i="4"/>
  <c r="F223" i="4"/>
  <c r="G223" i="4" s="1"/>
  <c r="F222" i="4"/>
  <c r="G222" i="4" s="1"/>
  <c r="E336" i="4" s="1"/>
  <c r="F221" i="4"/>
  <c r="G221" i="4" s="1"/>
  <c r="F220" i="4"/>
  <c r="C220" i="4"/>
  <c r="B304" i="4" s="1"/>
  <c r="F219" i="4"/>
  <c r="G219" i="4" s="1"/>
  <c r="D260" i="4" s="1"/>
  <c r="E216" i="4"/>
  <c r="F213" i="4"/>
  <c r="F197" i="4"/>
  <c r="D289" i="4" s="1"/>
  <c r="F196" i="4"/>
  <c r="D288" i="4" s="1"/>
  <c r="F195" i="4"/>
  <c r="F202" i="4" s="1"/>
  <c r="E329" i="4" s="1"/>
  <c r="E175" i="4"/>
  <c r="E162" i="4"/>
  <c r="G164" i="4" s="1"/>
  <c r="G161" i="4"/>
  <c r="D266" i="4" s="1"/>
  <c r="F154" i="4"/>
  <c r="E327" i="4" s="1"/>
  <c r="F153" i="4"/>
  <c r="E140" i="4"/>
  <c r="F126" i="4"/>
  <c r="E109" i="4"/>
  <c r="E113" i="4" s="1"/>
  <c r="E114" i="4" s="1"/>
  <c r="G108" i="4"/>
  <c r="F108" i="4"/>
  <c r="E108" i="4"/>
  <c r="G107" i="4"/>
  <c r="F106" i="4"/>
  <c r="F109" i="4" s="1"/>
  <c r="E105" i="4"/>
  <c r="H91" i="4"/>
  <c r="E273" i="4" s="1"/>
  <c r="H86" i="4"/>
  <c r="E289" i="4" s="1"/>
  <c r="H85" i="4"/>
  <c r="E288" i="4" s="1"/>
  <c r="H84" i="4"/>
  <c r="H83" i="4"/>
  <c r="E271" i="4" s="1"/>
  <c r="E83" i="4"/>
  <c r="G83" i="4" s="1"/>
  <c r="D83" i="4"/>
  <c r="B83" i="4"/>
  <c r="H82" i="4"/>
  <c r="E270" i="4" s="1"/>
  <c r="E82" i="4"/>
  <c r="G82" i="4" s="1"/>
  <c r="D82" i="4"/>
  <c r="B82" i="4"/>
  <c r="H81" i="4"/>
  <c r="E269" i="4" s="1"/>
  <c r="H80" i="4"/>
  <c r="E268" i="4" s="1"/>
  <c r="H79" i="4"/>
  <c r="E267" i="4" s="1"/>
  <c r="H78" i="4"/>
  <c r="E266" i="4" s="1"/>
  <c r="A61" i="4"/>
  <c r="C222" i="4" s="1"/>
  <c r="B306" i="4" s="1"/>
  <c r="E172" i="4" l="1"/>
  <c r="E179" i="4" s="1"/>
  <c r="E188" i="4" s="1"/>
  <c r="E326" i="4" s="1"/>
  <c r="D269" i="4"/>
  <c r="G162" i="4"/>
  <c r="D267" i="4" s="1"/>
  <c r="F267" i="4" s="1"/>
  <c r="G163" i="4"/>
  <c r="D268" i="4" s="1"/>
  <c r="F268" i="4" s="1"/>
  <c r="F271" i="4"/>
  <c r="G220" i="4"/>
  <c r="F288" i="4"/>
  <c r="F204" i="4"/>
  <c r="E331" i="4" s="1"/>
  <c r="E334" i="4"/>
  <c r="D261" i="4"/>
  <c r="G117" i="4"/>
  <c r="E260" i="4" s="1"/>
  <c r="E282" i="4" s="1"/>
  <c r="F282" i="4" s="1"/>
  <c r="G123" i="4"/>
  <c r="G122" i="4"/>
  <c r="E264" i="4" s="1"/>
  <c r="G118" i="4"/>
  <c r="E261" i="4" s="1"/>
  <c r="E283" i="4" s="1"/>
  <c r="F283" i="4" s="1"/>
  <c r="E337" i="4"/>
  <c r="D264" i="4"/>
  <c r="F269" i="4"/>
  <c r="F266" i="4"/>
  <c r="H266" i="4" s="1"/>
  <c r="F289" i="4"/>
  <c r="E335" i="4"/>
  <c r="D262" i="4"/>
  <c r="E171" i="4"/>
  <c r="E178" i="4" s="1"/>
  <c r="E187" i="4" s="1"/>
  <c r="E325" i="4" s="1"/>
  <c r="D263" i="4"/>
  <c r="F113" i="4"/>
  <c r="F114" i="4" s="1"/>
  <c r="G109" i="4"/>
  <c r="G113" i="4" s="1"/>
  <c r="G114" i="4" s="1"/>
  <c r="G120" i="4" s="1"/>
  <c r="E263" i="4" s="1"/>
  <c r="E285" i="4" s="1"/>
  <c r="F285" i="4" s="1"/>
  <c r="E170" i="4"/>
  <c r="E177" i="4" s="1"/>
  <c r="E186" i="4" s="1"/>
  <c r="E324" i="4" s="1"/>
  <c r="F203" i="4"/>
  <c r="E330" i="4" s="1"/>
  <c r="F255" i="4"/>
  <c r="D287" i="4"/>
  <c r="F287" i="4" s="1"/>
  <c r="E328" i="4"/>
  <c r="E333" i="4"/>
  <c r="D273" i="4"/>
  <c r="F273" i="4" s="1"/>
  <c r="E169" i="4"/>
  <c r="E176" i="4" s="1"/>
  <c r="E185" i="4" s="1"/>
  <c r="E323" i="4" s="1"/>
  <c r="H287" i="4" l="1"/>
  <c r="F261" i="4"/>
  <c r="F264" i="4"/>
  <c r="G121" i="4"/>
  <c r="G119" i="4"/>
  <c r="E262" i="4" s="1"/>
  <c r="E284" i="4" s="1"/>
  <c r="F284" i="4" s="1"/>
  <c r="H282" i="4" s="1"/>
  <c r="F263" i="4"/>
  <c r="F260" i="4"/>
  <c r="F262" i="4"/>
  <c r="H260" i="4" l="1"/>
  <c r="E291" i="4"/>
  <c r="F291" i="4" s="1"/>
  <c r="H291" i="4" s="1"/>
  <c r="H279" i="4"/>
  <c r="F307" i="4" s="1"/>
  <c r="H307" i="4" s="1"/>
  <c r="E274" i="4" l="1"/>
  <c r="F274" i="4" s="1"/>
  <c r="H273" i="4" s="1"/>
  <c r="H257" i="4"/>
  <c r="F304" i="4" s="1"/>
  <c r="H304" i="4" s="1"/>
  <c r="H310" i="4" s="1"/>
  <c r="F537" i="2" l="1"/>
  <c r="F538" i="2"/>
  <c r="F539" i="2"/>
  <c r="F536" i="2"/>
  <c r="D539" i="2"/>
  <c r="D538" i="2"/>
  <c r="D537" i="2"/>
  <c r="D536" i="2"/>
  <c r="C537" i="2"/>
  <c r="C538" i="2"/>
  <c r="C539" i="2"/>
  <c r="C536" i="2"/>
  <c r="A437" i="2"/>
  <c r="F564" i="2" l="1"/>
  <c r="F535" i="2"/>
  <c r="F563" i="2"/>
  <c r="F534" i="2"/>
  <c r="C564" i="2"/>
  <c r="C535" i="2"/>
  <c r="C563" i="2"/>
  <c r="C534" i="2"/>
  <c r="E520" i="2"/>
  <c r="E516" i="2"/>
  <c r="E510" i="2"/>
  <c r="E507" i="2"/>
  <c r="H480" i="2"/>
  <c r="C518" i="2" s="1"/>
  <c r="D496" i="2"/>
  <c r="H143" i="2"/>
  <c r="E492" i="2" s="1"/>
  <c r="D481" i="2"/>
  <c r="D423" i="2" l="1"/>
  <c r="E419" i="2"/>
  <c r="E503" i="2" s="1"/>
  <c r="E527" i="2" s="1"/>
  <c r="E557" i="2" s="1"/>
  <c r="E418" i="2"/>
  <c r="E502" i="2" s="1"/>
  <c r="E526" i="2" s="1"/>
  <c r="E556" i="2" s="1"/>
  <c r="H158" i="2"/>
  <c r="E495" i="2" s="1"/>
  <c r="H157" i="2"/>
  <c r="E440" i="2" s="1"/>
  <c r="F264" i="1"/>
  <c r="F263" i="1"/>
  <c r="C264" i="1"/>
  <c r="C263" i="1"/>
  <c r="D227" i="1"/>
  <c r="D226" i="1"/>
  <c r="C227" i="1"/>
  <c r="C226" i="1"/>
  <c r="A227" i="1"/>
  <c r="A226" i="1"/>
  <c r="E73" i="1"/>
  <c r="G73" i="1" s="1"/>
  <c r="E72" i="1"/>
  <c r="G72" i="1" s="1"/>
  <c r="D73" i="1"/>
  <c r="D72" i="1"/>
  <c r="B73" i="1"/>
  <c r="B72" i="1"/>
  <c r="H78" i="1"/>
  <c r="E229" i="1" s="1"/>
  <c r="D442" i="2"/>
  <c r="D438" i="2"/>
  <c r="D437" i="2"/>
  <c r="C438" i="2"/>
  <c r="C437" i="2"/>
  <c r="A438" i="2"/>
  <c r="E145" i="2"/>
  <c r="G145" i="2" s="1"/>
  <c r="E144" i="2"/>
  <c r="G144" i="2" s="1"/>
  <c r="D145" i="2"/>
  <c r="D144" i="2"/>
  <c r="B145" i="2"/>
  <c r="B144" i="2"/>
  <c r="E441" i="2" l="1"/>
  <c r="F480" i="2"/>
  <c r="C517" i="2" s="1"/>
  <c r="F410" i="2"/>
  <c r="E407" i="2"/>
  <c r="C410" i="2"/>
  <c r="F391" i="2"/>
  <c r="F390" i="2"/>
  <c r="F389" i="2"/>
  <c r="F388" i="2"/>
  <c r="F387" i="2"/>
  <c r="D390" i="2"/>
  <c r="D389" i="2"/>
  <c r="E384" i="2"/>
  <c r="G275" i="2"/>
  <c r="F331" i="2"/>
  <c r="E319" i="2"/>
  <c r="G318" i="2" s="1"/>
  <c r="F310" i="2"/>
  <c r="F305" i="2"/>
  <c r="F306" i="2" s="1"/>
  <c r="F322" i="2" s="1"/>
  <c r="G320" i="2" l="1"/>
  <c r="F328" i="2" s="1"/>
  <c r="G319" i="2"/>
  <c r="F327" i="2" s="1"/>
  <c r="D492" i="2" s="1"/>
  <c r="F492" i="2" s="1"/>
  <c r="F311" i="2"/>
  <c r="F326" i="2"/>
  <c r="E563" i="2" l="1"/>
  <c r="E564" i="2"/>
  <c r="F334" i="2"/>
  <c r="D493" i="2"/>
  <c r="F332" i="2"/>
  <c r="D491" i="2"/>
  <c r="F333" i="2"/>
  <c r="F340" i="2" l="1"/>
  <c r="E560" i="2" s="1"/>
  <c r="F341" i="2"/>
  <c r="E561" i="2" s="1"/>
  <c r="F342" i="2"/>
  <c r="E562" i="2" s="1"/>
  <c r="F234" i="2"/>
  <c r="F193" i="2" l="1"/>
  <c r="G175" i="2"/>
  <c r="F175" i="2"/>
  <c r="E175" i="2"/>
  <c r="G174" i="2"/>
  <c r="F173" i="2"/>
  <c r="F176" i="2" s="1"/>
  <c r="E172" i="2"/>
  <c r="E176" i="2" s="1"/>
  <c r="H141" i="2"/>
  <c r="E435" i="2" s="1"/>
  <c r="H142" i="2"/>
  <c r="H144" i="2"/>
  <c r="E437" i="2" s="1"/>
  <c r="H145" i="2"/>
  <c r="E438" i="2" s="1"/>
  <c r="H146" i="2"/>
  <c r="H147" i="2"/>
  <c r="H148" i="2"/>
  <c r="H149" i="2"/>
  <c r="H150" i="2"/>
  <c r="E474" i="2" s="1"/>
  <c r="H151" i="2"/>
  <c r="E456" i="2" s="1"/>
  <c r="H152" i="2"/>
  <c r="E457" i="2" s="1"/>
  <c r="H140" i="2"/>
  <c r="E434" i="2" s="1"/>
  <c r="H139" i="2"/>
  <c r="E433" i="2" l="1"/>
  <c r="E491" i="2"/>
  <c r="F491" i="2" s="1"/>
  <c r="E436" i="2"/>
  <c r="E493" i="2"/>
  <c r="F493" i="2" s="1"/>
  <c r="G176" i="2"/>
  <c r="G180" i="2" s="1"/>
  <c r="G181" i="2" s="1"/>
  <c r="G187" i="2" s="1"/>
  <c r="E180" i="2"/>
  <c r="E181" i="2" s="1"/>
  <c r="F180" i="2"/>
  <c r="F181" i="2" s="1"/>
  <c r="H491" i="2" l="1"/>
  <c r="E471" i="2"/>
  <c r="E454" i="2"/>
  <c r="E488" i="2"/>
  <c r="E430" i="2"/>
  <c r="G188" i="2"/>
  <c r="G186" i="2"/>
  <c r="G184" i="2"/>
  <c r="E427" i="2" s="1"/>
  <c r="G190" i="2"/>
  <c r="G189" i="2"/>
  <c r="G185" i="2"/>
  <c r="E468" i="2" l="1"/>
  <c r="E451" i="2"/>
  <c r="E485" i="2"/>
  <c r="E486" i="2"/>
  <c r="E428" i="2"/>
  <c r="E469" i="2"/>
  <c r="E452" i="2"/>
  <c r="E470" i="2"/>
  <c r="E453" i="2"/>
  <c r="E487" i="2"/>
  <c r="E429" i="2"/>
  <c r="E489" i="2"/>
  <c r="E431" i="2"/>
  <c r="D476" i="2"/>
  <c r="D464" i="2"/>
  <c r="D459" i="2"/>
  <c r="D447" i="2"/>
  <c r="F422" i="2"/>
  <c r="C508" i="2" s="1"/>
  <c r="F402" i="2"/>
  <c r="D402" i="2"/>
  <c r="F400" i="2"/>
  <c r="E397" i="2"/>
  <c r="F380" i="2"/>
  <c r="F379" i="2"/>
  <c r="F378" i="2"/>
  <c r="F377" i="2"/>
  <c r="E374" i="2"/>
  <c r="F370" i="2"/>
  <c r="F369" i="2"/>
  <c r="F368" i="2"/>
  <c r="F367" i="2"/>
  <c r="E364" i="2"/>
  <c r="F360" i="2"/>
  <c r="F359" i="2"/>
  <c r="F358" i="2"/>
  <c r="D358" i="2"/>
  <c r="F357" i="2"/>
  <c r="F356" i="2"/>
  <c r="E353" i="2"/>
  <c r="F350" i="2"/>
  <c r="G410" i="2" s="1"/>
  <c r="G285" i="2"/>
  <c r="G297" i="2" s="1"/>
  <c r="G284" i="2"/>
  <c r="G296" i="2" s="1"/>
  <c r="G283" i="2"/>
  <c r="G295" i="2" s="1"/>
  <c r="G282" i="2"/>
  <c r="G294" i="2" s="1"/>
  <c r="G278" i="2"/>
  <c r="G277" i="2"/>
  <c r="G276" i="2"/>
  <c r="F272" i="2"/>
  <c r="D474" i="2" s="1"/>
  <c r="F259" i="2"/>
  <c r="D457" i="2" s="1"/>
  <c r="F258" i="2"/>
  <c r="F263" i="2" s="1"/>
  <c r="E541" i="2" s="1"/>
  <c r="E231" i="2"/>
  <c r="E235" i="2" s="1"/>
  <c r="H215" i="2"/>
  <c r="E215" i="2"/>
  <c r="C215" i="2"/>
  <c r="H214" i="2"/>
  <c r="E214" i="2"/>
  <c r="C214" i="2"/>
  <c r="H213" i="2"/>
  <c r="E213" i="2"/>
  <c r="C213" i="2"/>
  <c r="H212" i="2"/>
  <c r="E212" i="2"/>
  <c r="C212" i="2"/>
  <c r="F208" i="2"/>
  <c r="F239" i="2" s="1"/>
  <c r="E149" i="2"/>
  <c r="G149" i="2" s="1"/>
  <c r="D149" i="2"/>
  <c r="C149" i="2"/>
  <c r="B149" i="2"/>
  <c r="E148" i="2"/>
  <c r="G148" i="2" s="1"/>
  <c r="D148" i="2"/>
  <c r="C148" i="2"/>
  <c r="B148" i="2"/>
  <c r="E147" i="2"/>
  <c r="G147" i="2" s="1"/>
  <c r="D147" i="2"/>
  <c r="C147" i="2"/>
  <c r="B147" i="2"/>
  <c r="E146" i="2"/>
  <c r="G146" i="2" s="1"/>
  <c r="D146" i="2"/>
  <c r="C146" i="2"/>
  <c r="B146" i="2"/>
  <c r="C64" i="2"/>
  <c r="C63" i="2"/>
  <c r="C62" i="2"/>
  <c r="C61" i="2"/>
  <c r="F40" i="2"/>
  <c r="F243" i="2" s="1"/>
  <c r="F39" i="2"/>
  <c r="F242" i="2" s="1"/>
  <c r="F38" i="2"/>
  <c r="F241" i="2" s="1"/>
  <c r="F37" i="2"/>
  <c r="F240" i="2" s="1"/>
  <c r="D495" i="2" l="1"/>
  <c r="F495" i="2" s="1"/>
  <c r="E572" i="2"/>
  <c r="E535" i="2"/>
  <c r="E534" i="2"/>
  <c r="G387" i="2"/>
  <c r="G391" i="2"/>
  <c r="G390" i="2"/>
  <c r="G388" i="2"/>
  <c r="G389" i="2"/>
  <c r="F275" i="2"/>
  <c r="F282" i="2" s="1"/>
  <c r="G367" i="2"/>
  <c r="D451" i="2" s="1"/>
  <c r="F451" i="2" s="1"/>
  <c r="F264" i="2"/>
  <c r="E542" i="2" s="1"/>
  <c r="F474" i="2"/>
  <c r="F437" i="2"/>
  <c r="G356" i="2"/>
  <c r="D427" i="2" s="1"/>
  <c r="F427" i="2" s="1"/>
  <c r="G369" i="2"/>
  <c r="D453" i="2" s="1"/>
  <c r="F453" i="2" s="1"/>
  <c r="F438" i="2"/>
  <c r="G359" i="2"/>
  <c r="D430" i="2" s="1"/>
  <c r="F430" i="2" s="1"/>
  <c r="G357" i="2"/>
  <c r="D428" i="2" s="1"/>
  <c r="F428" i="2" s="1"/>
  <c r="G360" i="2"/>
  <c r="G380" i="2"/>
  <c r="D471" i="2" s="1"/>
  <c r="F471" i="2" s="1"/>
  <c r="G402" i="2"/>
  <c r="D441" i="2" s="1"/>
  <c r="F441" i="2" s="1"/>
  <c r="G379" i="2"/>
  <c r="D470" i="2" s="1"/>
  <c r="F470" i="2" s="1"/>
  <c r="F278" i="2"/>
  <c r="F285" i="2" s="1"/>
  <c r="F457" i="2"/>
  <c r="G358" i="2"/>
  <c r="D429" i="2" s="1"/>
  <c r="F429" i="2" s="1"/>
  <c r="G370" i="2"/>
  <c r="D454" i="2" s="1"/>
  <c r="F454" i="2" s="1"/>
  <c r="G377" i="2"/>
  <c r="D468" i="2" s="1"/>
  <c r="F468" i="2" s="1"/>
  <c r="G400" i="2"/>
  <c r="D440" i="2" s="1"/>
  <c r="F440" i="2" s="1"/>
  <c r="F276" i="2"/>
  <c r="F283" i="2" s="1"/>
  <c r="D436" i="2"/>
  <c r="F436" i="2" s="1"/>
  <c r="F251" i="2"/>
  <c r="E533" i="2" s="1"/>
  <c r="F248" i="2"/>
  <c r="E530" i="2" s="1"/>
  <c r="D433" i="2"/>
  <c r="F433" i="2" s="1"/>
  <c r="D434" i="2"/>
  <c r="F434" i="2" s="1"/>
  <c r="F249" i="2"/>
  <c r="E531" i="2" s="1"/>
  <c r="F250" i="2"/>
  <c r="E532" i="2" s="1"/>
  <c r="D435" i="2"/>
  <c r="F435" i="2" s="1"/>
  <c r="D456" i="2"/>
  <c r="F456" i="2" s="1"/>
  <c r="G368" i="2"/>
  <c r="D452" i="2" s="1"/>
  <c r="F452" i="2" s="1"/>
  <c r="F277" i="2"/>
  <c r="F284" i="2" s="1"/>
  <c r="G378" i="2"/>
  <c r="D469" i="2" s="1"/>
  <c r="F469" i="2" s="1"/>
  <c r="D488" i="2" l="1"/>
  <c r="F488" i="2" s="1"/>
  <c r="E569" i="2"/>
  <c r="D489" i="2"/>
  <c r="F489" i="2" s="1"/>
  <c r="H485" i="2" s="1"/>
  <c r="E496" i="2" s="1"/>
  <c r="F496" i="2" s="1"/>
  <c r="H495" i="2" s="1"/>
  <c r="H482" i="2" s="1"/>
  <c r="F516" i="2" s="1"/>
  <c r="H516" i="2" s="1"/>
  <c r="E570" i="2"/>
  <c r="D485" i="2"/>
  <c r="F485" i="2" s="1"/>
  <c r="E566" i="2"/>
  <c r="D486" i="2"/>
  <c r="F486" i="2" s="1"/>
  <c r="E567" i="2"/>
  <c r="D487" i="2"/>
  <c r="F487" i="2" s="1"/>
  <c r="E568" i="2"/>
  <c r="F296" i="2"/>
  <c r="E538" i="2" s="1"/>
  <c r="F295" i="2"/>
  <c r="E537" i="2" s="1"/>
  <c r="E513" i="2"/>
  <c r="E547" i="2" s="1"/>
  <c r="E473" i="2"/>
  <c r="H456" i="2"/>
  <c r="F298" i="2"/>
  <c r="E540" i="2" s="1"/>
  <c r="F294" i="2"/>
  <c r="E536" i="2" s="1"/>
  <c r="F297" i="2"/>
  <c r="E539" i="2" s="1"/>
  <c r="F271" i="2"/>
  <c r="D473" i="2" s="1"/>
  <c r="E551" i="2"/>
  <c r="H468" i="2"/>
  <c r="E476" i="2" s="1"/>
  <c r="F476" i="2" s="1"/>
  <c r="H476" i="2" s="1"/>
  <c r="E548" i="2"/>
  <c r="D431" i="2"/>
  <c r="F431" i="2" s="1"/>
  <c r="H427" i="2" s="1"/>
  <c r="H451" i="2"/>
  <c r="E459" i="2" s="1"/>
  <c r="F459" i="2" s="1"/>
  <c r="H459" i="2" s="1"/>
  <c r="E550" i="2"/>
  <c r="H433" i="2"/>
  <c r="E545" i="2" l="1"/>
  <c r="H448" i="2"/>
  <c r="F510" i="2" s="1"/>
  <c r="H510" i="2" s="1"/>
  <c r="E544" i="2"/>
  <c r="E546" i="2"/>
  <c r="F473" i="2"/>
  <c r="H473" i="2" s="1"/>
  <c r="H465" i="2" s="1"/>
  <c r="F513" i="2" s="1"/>
  <c r="H513" i="2" s="1"/>
  <c r="E442" i="2"/>
  <c r="F442" i="2" s="1"/>
  <c r="H440" i="2" s="1"/>
  <c r="H424" i="2" s="1"/>
  <c r="F507" i="2" s="1"/>
  <c r="H507" i="2" s="1"/>
  <c r="H519" i="2" l="1"/>
  <c r="D247" i="1"/>
  <c r="E208" i="1" l="1"/>
  <c r="E238" i="1" s="1"/>
  <c r="E255" i="1" s="1"/>
  <c r="E207" i="1"/>
  <c r="E237" i="1" s="1"/>
  <c r="E254" i="1" s="1"/>
  <c r="H73" i="1"/>
  <c r="E227" i="1" s="1"/>
  <c r="H72" i="1"/>
  <c r="E226" i="1" s="1"/>
  <c r="C199" i="1"/>
  <c r="C187" i="1"/>
  <c r="B243" i="1" s="1"/>
  <c r="E127" i="1"/>
  <c r="F227" i="1" l="1"/>
  <c r="F226" i="1"/>
  <c r="F113" i="1" l="1"/>
  <c r="G95" i="1"/>
  <c r="F95" i="1"/>
  <c r="E95" i="1"/>
  <c r="G94" i="1"/>
  <c r="G96" i="1" s="1"/>
  <c r="F93" i="1"/>
  <c r="E92" i="1"/>
  <c r="E96" i="1" s="1"/>
  <c r="E100" i="1" l="1"/>
  <c r="E101" i="1" s="1"/>
  <c r="G110" i="1" s="1"/>
  <c r="F96" i="1"/>
  <c r="F100" i="1" s="1"/>
  <c r="F101" i="1" s="1"/>
  <c r="G100" i="1"/>
  <c r="G101" i="1" s="1"/>
  <c r="G107" i="1" s="1"/>
  <c r="E219" i="1" s="1"/>
  <c r="H69" i="1"/>
  <c r="E223" i="1" s="1"/>
  <c r="H70" i="1"/>
  <c r="E224" i="1" s="1"/>
  <c r="H71" i="1"/>
  <c r="E225" i="1" s="1"/>
  <c r="H68" i="1"/>
  <c r="E222" i="1" s="1"/>
  <c r="G104" i="1" l="1"/>
  <c r="E216" i="1" s="1"/>
  <c r="G105" i="1"/>
  <c r="E217" i="1" s="1"/>
  <c r="G109" i="1"/>
  <c r="E220" i="1" s="1"/>
  <c r="G106" i="1"/>
  <c r="E218" i="1" s="1"/>
  <c r="G108" i="1"/>
  <c r="A54" i="1"/>
  <c r="C189" i="1" l="1"/>
  <c r="B245" i="1" s="1"/>
  <c r="F211" i="1"/>
  <c r="E243" i="1"/>
  <c r="D230" i="1"/>
  <c r="D212" i="1"/>
  <c r="F199" i="1"/>
  <c r="E196" i="1"/>
  <c r="F190" i="1"/>
  <c r="F189" i="1"/>
  <c r="F188" i="1"/>
  <c r="F187" i="1"/>
  <c r="F186" i="1"/>
  <c r="E183" i="1"/>
  <c r="F180" i="1"/>
  <c r="E158" i="1"/>
  <c r="E145" i="1"/>
  <c r="F136" i="1"/>
  <c r="F137" i="1" s="1"/>
  <c r="E264" i="1" l="1"/>
  <c r="E263" i="1"/>
  <c r="G147" i="1"/>
  <c r="G146" i="1"/>
  <c r="G145" i="1"/>
  <c r="D223" i="1" s="1"/>
  <c r="G144" i="1"/>
  <c r="D222" i="1" s="1"/>
  <c r="G188" i="1"/>
  <c r="E268" i="1" s="1"/>
  <c r="G186" i="1"/>
  <c r="G189" i="1"/>
  <c r="E269" i="1" s="1"/>
  <c r="G199" i="1"/>
  <c r="E272" i="1" s="1"/>
  <c r="G187" i="1"/>
  <c r="E267" i="1" s="1"/>
  <c r="G190" i="1"/>
  <c r="E270" i="1" s="1"/>
  <c r="D216" i="1" l="1"/>
  <c r="F216" i="1" s="1"/>
  <c r="E266" i="1"/>
  <c r="E154" i="1"/>
  <c r="E161" i="1" s="1"/>
  <c r="E170" i="1" s="1"/>
  <c r="E261" i="1" s="1"/>
  <c r="D224" i="1"/>
  <c r="F224" i="1" s="1"/>
  <c r="E155" i="1"/>
  <c r="E162" i="1" s="1"/>
  <c r="E171" i="1" s="1"/>
  <c r="E262" i="1" s="1"/>
  <c r="D225" i="1"/>
  <c r="F225" i="1" s="1"/>
  <c r="E153" i="1"/>
  <c r="E160" i="1" s="1"/>
  <c r="E152" i="1"/>
  <c r="E159" i="1" s="1"/>
  <c r="D219" i="1"/>
  <c r="F219" i="1" s="1"/>
  <c r="D229" i="1"/>
  <c r="F229" i="1" s="1"/>
  <c r="D218" i="1"/>
  <c r="F218" i="1" s="1"/>
  <c r="D217" i="1"/>
  <c r="F217" i="1" s="1"/>
  <c r="D220" i="1"/>
  <c r="F220" i="1" s="1"/>
  <c r="E168" i="1" l="1"/>
  <c r="E259" i="1" s="1"/>
  <c r="F222" i="1"/>
  <c r="E169" i="1"/>
  <c r="E260" i="1" s="1"/>
  <c r="F223" i="1"/>
  <c r="H216" i="1"/>
  <c r="E230" i="1" s="1"/>
  <c r="F230" i="1" s="1"/>
  <c r="H229" i="1" s="1"/>
  <c r="H222" i="1" l="1"/>
  <c r="H213" i="1" s="1"/>
  <c r="F243" i="1" s="1"/>
  <c r="H243" i="1" s="1"/>
  <c r="H24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61" authorId="0" shapeId="0" xr:uid="{00000000-0006-0000-00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95" authorId="0" shapeId="0" xr:uid="{00000000-0006-0000-00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81" authorId="0" shapeId="0" xr:uid="{00000000-0006-0000-01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15" authorId="0" shapeId="0" xr:uid="{00000000-0006-0000-01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94" authorId="0" shapeId="0" xr:uid="{00000000-0006-0000-02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28" authorId="0" shapeId="0" xr:uid="{00000000-0006-0000-02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10" authorId="0" shapeId="0" xr:uid="{00000000-0006-0000-03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44" authorId="0" shapeId="0" xr:uid="{00000000-0006-0000-03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77" authorId="0" shapeId="0" xr:uid="{00000000-0006-0000-04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11" authorId="0" shapeId="0" xr:uid="{00000000-0006-0000-04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49" authorId="0" shapeId="0" xr:uid="{00000000-0006-0000-05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83" authorId="0" shapeId="0" xr:uid="{00000000-0006-0000-05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51" authorId="0" shapeId="0" xr:uid="{00000000-0006-0000-06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185" authorId="0" shapeId="0" xr:uid="{00000000-0006-0000-06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72" authorId="0" shapeId="0" xr:uid="{00000000-0006-0000-0700-000001000000}">
      <text>
        <r>
          <rPr>
            <sz val="9"/>
            <color indexed="81"/>
            <rFont val="Tahoma"/>
            <family val="2"/>
          </rPr>
          <t>Si es obra por contrata: NO se incluye el IGV en los Costos Directos.
Si es por administración directa: SI se incluye IGV en los Costos Directos.</t>
        </r>
      </text>
    </comment>
    <comment ref="E206" authorId="0" shapeId="0" xr:uid="{00000000-0006-0000-0700-000002000000}">
      <text>
        <r>
          <rPr>
            <sz val="9"/>
            <color indexed="81"/>
            <rFont val="Tahoma"/>
            <family val="2"/>
          </rPr>
          <t>Si es mayor a 50 UIT: se utilizarán los salarios en el Régimen de Constr. Civil.
Si es menor a 50 UIT: se utilizará solamente la Remuneración Básica.</t>
        </r>
      </text>
    </comment>
  </commentList>
</comments>
</file>

<file path=xl/sharedStrings.xml><?xml version="1.0" encoding="utf-8"?>
<sst xmlns="http://schemas.openxmlformats.org/spreadsheetml/2006/main" count="3915" uniqueCount="842">
  <si>
    <t>A. DATOS DE ENTRADA</t>
  </si>
  <si>
    <t>A.1. Datos de los Materiales:</t>
  </si>
  <si>
    <t>Relación a/c</t>
  </si>
  <si>
    <r>
      <t>Agua (m</t>
    </r>
    <r>
      <rPr>
        <sz val="12"/>
        <color theme="1"/>
        <rFont val="Calibri"/>
        <family val="2"/>
        <scheme val="minor"/>
      </rPr>
      <t>³</t>
    </r>
    <r>
      <rPr>
        <sz val="11"/>
        <color theme="1"/>
        <rFont val="Calibri"/>
        <family val="2"/>
        <scheme val="minor"/>
      </rPr>
      <t>)</t>
    </r>
  </si>
  <si>
    <t>Posible desperdicio</t>
  </si>
  <si>
    <t>A.2. Datos de la Mano de Obra</t>
  </si>
  <si>
    <t>Jornada laboral</t>
  </si>
  <si>
    <t>horas</t>
  </si>
  <si>
    <t>(Cambiar los datos del cuadro sólo si se tienen datos más exactos)</t>
  </si>
  <si>
    <t>Actividad</t>
  </si>
  <si>
    <t>Cuadrilla</t>
  </si>
  <si>
    <t>Capatáz</t>
  </si>
  <si>
    <t>Operario</t>
  </si>
  <si>
    <t>Oficial</t>
  </si>
  <si>
    <t>Peón</t>
  </si>
  <si>
    <t>Op. Eq. Liv.</t>
  </si>
  <si>
    <t>A.3. Datos del Equipo y Herramientas</t>
  </si>
  <si>
    <t xml:space="preserve"> -Mezcladora concreto 13 HP 11-12 P³:</t>
  </si>
  <si>
    <t>Máquina</t>
  </si>
  <si>
    <t xml:space="preserve"> -Herramientas manuales:</t>
  </si>
  <si>
    <t>de la MO</t>
  </si>
  <si>
    <t>(Colocar el % determinado)</t>
  </si>
  <si>
    <t>A.4. Datos de los Costos</t>
  </si>
  <si>
    <t>Materiales</t>
  </si>
  <si>
    <t>S/.</t>
  </si>
  <si>
    <t>Operador de equipo liviano</t>
  </si>
  <si>
    <t>Equipos</t>
  </si>
  <si>
    <t>Mezcladora concreto 13 HP 11-12 P³</t>
  </si>
  <si>
    <t>(Insertar los datos que se han obtenido previamente de los metrados)</t>
  </si>
  <si>
    <t>(datos de los METRADOS)</t>
  </si>
  <si>
    <t>B. CÁLCULO DE MATERIALES</t>
  </si>
  <si>
    <t>Desperdicio de concreto =</t>
  </si>
  <si>
    <r>
      <t>m</t>
    </r>
    <r>
      <rPr>
        <b/>
        <sz val="12"/>
        <color theme="1"/>
        <rFont val="Calibri"/>
        <family val="2"/>
        <scheme val="minor"/>
      </rPr>
      <t>³</t>
    </r>
  </si>
  <si>
    <t>Utilizando el cuadro de proporciones de CAPECO:</t>
  </si>
  <si>
    <t>Cemento =</t>
  </si>
  <si>
    <t>bolsas</t>
  </si>
  <si>
    <t>Hormigón =</t>
  </si>
  <si>
    <r>
      <t>m</t>
    </r>
    <r>
      <rPr>
        <i/>
        <sz val="12"/>
        <color theme="1"/>
        <rFont val="Calibri"/>
        <family val="2"/>
      </rPr>
      <t>³</t>
    </r>
  </si>
  <si>
    <t>Agua =</t>
  </si>
  <si>
    <t>Cemento</t>
  </si>
  <si>
    <t>Hormigón</t>
  </si>
  <si>
    <t>Agua</t>
  </si>
  <si>
    <r>
      <t>m</t>
    </r>
    <r>
      <rPr>
        <b/>
        <sz val="12"/>
        <color theme="1"/>
        <rFont val="Calibri"/>
        <family val="2"/>
      </rPr>
      <t>³</t>
    </r>
  </si>
  <si>
    <t>C. CÁLCULO DE MANO DE OBRA</t>
  </si>
  <si>
    <t>Jornada laboral diaria</t>
  </si>
  <si>
    <t>RENDIMIENTO =</t>
  </si>
  <si>
    <t>ACTIVIDAD</t>
  </si>
  <si>
    <t>MO</t>
  </si>
  <si>
    <t>CUADRILLA</t>
  </si>
  <si>
    <t>Cantidad de H-H</t>
  </si>
  <si>
    <t>Op. Equi. Liv.</t>
  </si>
  <si>
    <t>D. CÁLCULO DEL EQUIPO Y MAQUINARIA</t>
  </si>
  <si>
    <t>EQ</t>
  </si>
  <si>
    <t>Cantidad de H-M</t>
  </si>
  <si>
    <t>Mezcladora de concreto 13 HP 11-12 P³</t>
  </si>
  <si>
    <t>E. ANÁLISIS DE COSTOS UNITARIOS</t>
  </si>
  <si>
    <t>ACTIVIDAD:</t>
  </si>
  <si>
    <t>Rendimiento:</t>
  </si>
  <si>
    <t>Unidad:</t>
  </si>
  <si>
    <t>COSTO UNITARIO S/.</t>
  </si>
  <si>
    <t>UNIDAD</t>
  </si>
  <si>
    <t>CANTIDAD</t>
  </si>
  <si>
    <t>CTO. UNIT.</t>
  </si>
  <si>
    <t>PARCIAL</t>
  </si>
  <si>
    <t>SUB TOTAL</t>
  </si>
  <si>
    <t>MANO DE OBRA</t>
  </si>
  <si>
    <t>CAPATÁZ</t>
  </si>
  <si>
    <t>H-H</t>
  </si>
  <si>
    <t>OPERARIO</t>
  </si>
  <si>
    <t>OFICIAL</t>
  </si>
  <si>
    <t>PEÓN</t>
  </si>
  <si>
    <t>OPERADOR EQUIPO LIVIANO</t>
  </si>
  <si>
    <t>MATERIALES</t>
  </si>
  <si>
    <t>CEMENTO</t>
  </si>
  <si>
    <t>bls</t>
  </si>
  <si>
    <t>HORMIGÓN</t>
  </si>
  <si>
    <r>
      <t>m</t>
    </r>
    <r>
      <rPr>
        <sz val="12"/>
        <color theme="1"/>
        <rFont val="Calibri"/>
        <family val="2"/>
      </rPr>
      <t>³</t>
    </r>
  </si>
  <si>
    <t>AGUA</t>
  </si>
  <si>
    <t>EQUIPOS Y HERRAM.</t>
  </si>
  <si>
    <t>MEZCLADORA DE CONCRETO 13 HP 11-12 P3</t>
  </si>
  <si>
    <t>H-M</t>
  </si>
  <si>
    <t>HERRAM. MANUALES</t>
  </si>
  <si>
    <t>%MO</t>
  </si>
  <si>
    <t>METRADO</t>
  </si>
  <si>
    <t>COSTO UNIT. (S/.)</t>
  </si>
  <si>
    <t>COSTO TOTAL (S/.)</t>
  </si>
  <si>
    <t>con los</t>
  </si>
  <si>
    <t>TOTAL</t>
  </si>
  <si>
    <r>
      <t>m</t>
    </r>
    <r>
      <rPr>
        <i/>
        <sz val="12"/>
        <color theme="1"/>
        <rFont val="Calibri"/>
        <family val="2"/>
        <scheme val="minor"/>
      </rPr>
      <t>³</t>
    </r>
  </si>
  <si>
    <t xml:space="preserve">Agua </t>
  </si>
  <si>
    <t>Operador Equipo Liviano</t>
  </si>
  <si>
    <t>EQUIPO</t>
  </si>
  <si>
    <t>Mezcladora de concreto 13 HP 11-12 P3</t>
  </si>
  <si>
    <t>CIMIENTOS CORRIDOS</t>
  </si>
  <si>
    <t>Concreto ciclópeo para cimientos corridos</t>
  </si>
  <si>
    <t>Proporciones usualmente utilizadas en concreto ciclópeo, según CAPECO</t>
  </si>
  <si>
    <t>1:8 + 25% PG</t>
  </si>
  <si>
    <t>1:10 + 30% PG</t>
  </si>
  <si>
    <t>Proporción</t>
  </si>
  <si>
    <r>
      <t>Materiales por m</t>
    </r>
    <r>
      <rPr>
        <sz val="12"/>
        <color theme="1"/>
        <rFont val="Calibri"/>
        <family val="2"/>
      </rPr>
      <t xml:space="preserve">³ </t>
    </r>
    <r>
      <rPr>
        <sz val="11"/>
        <color theme="1"/>
        <rFont val="Calibri"/>
        <family val="2"/>
      </rPr>
      <t>de concreto ciclópeo</t>
    </r>
  </si>
  <si>
    <r>
      <t>Hormigón (m</t>
    </r>
    <r>
      <rPr>
        <sz val="12"/>
        <color theme="1"/>
        <rFont val="Calibri"/>
        <family val="2"/>
      </rPr>
      <t>³</t>
    </r>
    <r>
      <rPr>
        <sz val="11"/>
        <color theme="1"/>
        <rFont val="Calibri"/>
        <family val="2"/>
      </rPr>
      <t>)</t>
    </r>
  </si>
  <si>
    <t>Cemento (bolsas)</t>
  </si>
  <si>
    <r>
      <t>Piedra Grand. (m</t>
    </r>
    <r>
      <rPr>
        <sz val="12"/>
        <color theme="1"/>
        <rFont val="Calibri"/>
        <family val="2"/>
        <scheme val="minor"/>
      </rPr>
      <t>³</t>
    </r>
    <r>
      <rPr>
        <sz val="11"/>
        <color theme="1"/>
        <rFont val="Calibri"/>
        <family val="2"/>
        <scheme val="minor"/>
      </rPr>
      <t>)</t>
    </r>
  </si>
  <si>
    <t>Para cimientos corridos se recomienda la proporción 1:10 + 30% PG</t>
  </si>
  <si>
    <r>
      <t xml:space="preserve"> </t>
    </r>
    <r>
      <rPr>
        <b/>
        <i/>
        <sz val="11"/>
        <color theme="1"/>
        <rFont val="Calibri"/>
        <family val="2"/>
        <scheme val="minor"/>
      </rPr>
      <t>-Proporción Cemento/Hormigón + PG:</t>
    </r>
  </si>
  <si>
    <t>(elegir la proporción en la lista desplegable)</t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</si>
  <si>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para cimientos:</t>
    </r>
  </si>
  <si>
    <t xml:space="preserve"> Materiales para máquina mezcladora:</t>
  </si>
  <si>
    <t xml:space="preserve"> -Gasolina de 84 octanos:</t>
  </si>
  <si>
    <r>
      <t>galones/m</t>
    </r>
    <r>
      <rPr>
        <sz val="12"/>
        <color theme="1"/>
        <rFont val="Calibri"/>
        <family val="2"/>
      </rPr>
      <t>³</t>
    </r>
  </si>
  <si>
    <t>(En el caso de ya llevarlo incluido colocarles: 0.00)</t>
  </si>
  <si>
    <t xml:space="preserve"> -Grasa Multi propósitos:</t>
  </si>
  <si>
    <r>
      <t>kg/m</t>
    </r>
    <r>
      <rPr>
        <sz val="12"/>
        <color theme="1"/>
        <rFont val="Calibri"/>
        <family val="2"/>
        <scheme val="minor"/>
      </rPr>
      <t>³</t>
    </r>
  </si>
  <si>
    <t xml:space="preserve"> Materiales para el concreto ciclópeo: </t>
  </si>
  <si>
    <t>CONCRETO PARA CIMIENTOS CORRIDOS</t>
  </si>
  <si>
    <r>
      <t>Rendimient. (m</t>
    </r>
    <r>
      <rPr>
        <sz val="12"/>
        <color theme="1"/>
        <rFont val="Calibri"/>
        <family val="2"/>
      </rPr>
      <t>³</t>
    </r>
    <r>
      <rPr>
        <sz val="11"/>
        <color theme="1"/>
        <rFont val="Calibri"/>
        <family val="2"/>
      </rPr>
      <t>/dia)</t>
    </r>
  </si>
  <si>
    <t>Costos Incluido IGV</t>
  </si>
  <si>
    <t>Costos Sin IGV</t>
  </si>
  <si>
    <t>(Colorar los costos incluido el IGV)</t>
  </si>
  <si>
    <t>Incluido IGV</t>
  </si>
  <si>
    <t>Sin IGV</t>
  </si>
  <si>
    <t>bolsa 42.5 kg</t>
  </si>
  <si>
    <r>
      <t>m</t>
    </r>
    <r>
      <rPr>
        <sz val="12"/>
        <color theme="1"/>
        <rFont val="Calibri"/>
        <family val="2"/>
        <scheme val="minor"/>
      </rPr>
      <t>³</t>
    </r>
  </si>
  <si>
    <t>Unidades</t>
  </si>
  <si>
    <t>ESTRUCTURA DE COSTOS DE MANO DE OBRA</t>
  </si>
  <si>
    <t>Vigente del  01/06/2021  al  31/05/2022</t>
  </si>
  <si>
    <t>Descripción</t>
  </si>
  <si>
    <t>Remuneraicón Básica Vigente (RB)</t>
  </si>
  <si>
    <t>Bonificación Unificada de Construcc. (BUC)</t>
  </si>
  <si>
    <t>Leyes y Benef. Soc. Sobre la RB</t>
  </si>
  <si>
    <t>Leyes y Benef. Soc. Sobre BUC</t>
  </si>
  <si>
    <t>Bonificación Movilidada Acumulada</t>
  </si>
  <si>
    <t>Overol (2 unid. Anuales)</t>
  </si>
  <si>
    <t>Seguro de vida (Essalud + vida)</t>
  </si>
  <si>
    <t>Jornal Diario</t>
  </si>
  <si>
    <t>Jornal Horario</t>
  </si>
  <si>
    <t>COSTO HORARIO DE MANO DE OBRA PARA EXPEDIENTE</t>
  </si>
  <si>
    <t>Capataz</t>
  </si>
  <si>
    <t>Topógrafo</t>
  </si>
  <si>
    <t>Operador de equipo pesado</t>
  </si>
  <si>
    <t>del operario</t>
  </si>
  <si>
    <t>del oficial</t>
  </si>
  <si>
    <t>Salarios aplicables en obras mayores a 50 UIT</t>
  </si>
  <si>
    <t>Costos de los Materiales:</t>
  </si>
  <si>
    <t>Costos de Mano de Obra:</t>
  </si>
  <si>
    <t>Valor de la UIT en Perú:</t>
  </si>
  <si>
    <t>50 UIT =</t>
  </si>
  <si>
    <t>SI</t>
  </si>
  <si>
    <t>NO</t>
  </si>
  <si>
    <t xml:space="preserve">      (Elegir en la lista despleg. si se incluye o no el IGV)</t>
  </si>
  <si>
    <t xml:space="preserve">    (Elegir en la lista desplegable si es mayor o no, que 50 UIT)</t>
  </si>
  <si>
    <t>A.5. DATOS DEL CIMIENTO CORRIDO A PRESUESTAR (METRADOS)</t>
  </si>
  <si>
    <t>Costos de los Equipos:</t>
  </si>
  <si>
    <t xml:space="preserve"> -VOLUMEN DE CONCRETO</t>
  </si>
  <si>
    <t>EN CIMIENTOS</t>
  </si>
  <si>
    <t>B.1. Cálculo de concreto ciclópeo para cimientos corridos</t>
  </si>
  <si>
    <r>
      <t xml:space="preserve"> -Cantidad final (incluido desperdicios) de concreto ciclópeo para cimientos corridos</t>
    </r>
    <r>
      <rPr>
        <b/>
        <i/>
        <sz val="11"/>
        <color theme="1"/>
        <rFont val="Calibri"/>
        <family val="2"/>
      </rPr>
      <t>:</t>
    </r>
  </si>
  <si>
    <t>TOTAL CONCRETO CICLÓPEO EN CIMIENTO CORRIDO</t>
  </si>
  <si>
    <t xml:space="preserve">Proporciones del concreto ciclópeo </t>
  </si>
  <si>
    <t>Piedra Grand. =</t>
  </si>
  <si>
    <t>Piedra Grande</t>
  </si>
  <si>
    <r>
      <t xml:space="preserve"> -Cantidad de materiales</t>
    </r>
    <r>
      <rPr>
        <b/>
        <i/>
        <sz val="12"/>
        <color theme="1"/>
        <rFont val="Calibri"/>
        <family val="2"/>
      </rPr>
      <t xml:space="preserve"> de concreto ciclópeo: </t>
    </r>
  </si>
  <si>
    <r>
      <t xml:space="preserve"> -Cantidad de materiales (incluido desperdicio) de concreto ciclópeo</t>
    </r>
    <r>
      <rPr>
        <b/>
        <i/>
        <sz val="12"/>
        <color theme="1"/>
        <rFont val="Calibri"/>
        <family val="2"/>
      </rPr>
      <t xml:space="preserve">: </t>
    </r>
  </si>
  <si>
    <t>CANTIDAD TOTAL DE MATERIALES (INCLUIDO DESPERDICIO) PARA TODO EL CIMIENTO CORRIDO:</t>
  </si>
  <si>
    <r>
      <t xml:space="preserve">B.2. Cálculo de materiales </t>
    </r>
    <r>
      <rPr>
        <b/>
        <i/>
        <u/>
        <sz val="12"/>
        <color theme="1"/>
        <rFont val="Calibri"/>
        <family val="2"/>
      </rPr>
      <t>del concreto ciclópeo para cimientos corridos</t>
    </r>
  </si>
  <si>
    <r>
      <t xml:space="preserve"> -Cantidad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ciclópeo para cimientos:</t>
    </r>
  </si>
  <si>
    <r>
      <t>m</t>
    </r>
    <r>
      <rPr>
        <sz val="12"/>
        <color theme="1"/>
        <rFont val="Calibri"/>
        <family val="2"/>
      </rPr>
      <t>³/dia</t>
    </r>
  </si>
  <si>
    <r>
      <t xml:space="preserve"> -Cantidad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ciclópeo para cimientos:</t>
    </r>
  </si>
  <si>
    <r>
      <t>m</t>
    </r>
    <r>
      <rPr>
        <sz val="12"/>
        <color theme="1"/>
        <rFont val="Calibri"/>
        <family val="2"/>
        <scheme val="minor"/>
      </rPr>
      <t>³</t>
    </r>
    <r>
      <rPr>
        <sz val="11"/>
        <color theme="1"/>
        <rFont val="Calibri"/>
        <family val="2"/>
        <scheme val="minor"/>
      </rPr>
      <t>/dia</t>
    </r>
  </si>
  <si>
    <t>kg</t>
  </si>
  <si>
    <t>PIEDRA GRANDE</t>
  </si>
  <si>
    <t>PARA UNA OBRA</t>
  </si>
  <si>
    <t>CON LOS COSTOS</t>
  </si>
  <si>
    <t>F. PRESUPUESTO DE TODOS LOS CIMIENTOS CORRIDOS</t>
  </si>
  <si>
    <t>PRESUPUESTO TOTAL PARA CIMIENTOS CORRIDOS</t>
  </si>
  <si>
    <t>G. RELACIÓN DE INSUMOS PARA LA TOTALIDAD DE CIMIENTOS CORRIDOS</t>
  </si>
  <si>
    <t>Piedra grande</t>
  </si>
  <si>
    <t>Horas-Hombre</t>
  </si>
  <si>
    <t>Horas-Máquina</t>
  </si>
  <si>
    <t xml:space="preserve">         En la obra se considerará los costos:</t>
  </si>
  <si>
    <t>Importante</t>
  </si>
  <si>
    <t xml:space="preserve"> Es obra mayor a 50 UIT ??</t>
  </si>
  <si>
    <t>ZAPATAS Y SOLADOS</t>
  </si>
  <si>
    <t>A.1. DATOS DE LOS MATERIALES</t>
  </si>
  <si>
    <t xml:space="preserve"> Materiales del concreto: </t>
  </si>
  <si>
    <t>Si no cuenta con diseño de mezclas de puede usar el sgte cuadro:</t>
  </si>
  <si>
    <t>Proporciones usualmente utilizadas en construcción, según CAPECO</t>
  </si>
  <si>
    <t>c:a:p</t>
  </si>
  <si>
    <t>Cemento (bls)</t>
  </si>
  <si>
    <t>1 : 2.5 : 3.5</t>
  </si>
  <si>
    <t>1 : 2.5 : 2.5</t>
  </si>
  <si>
    <t>1 : 1.5 : 1.5</t>
  </si>
  <si>
    <t xml:space="preserve"> -Resistencia del Concreto:</t>
  </si>
  <si>
    <t>kg/cm²</t>
  </si>
  <si>
    <t>(Elegir la resistencia  del concreto)</t>
  </si>
  <si>
    <t xml:space="preserve"> Cemento (bolsa de 42.5 kg): </t>
  </si>
  <si>
    <t xml:space="preserve"> Arena gruesa para concreto: </t>
  </si>
  <si>
    <t xml:space="preserve"> Piedra para concreto: </t>
  </si>
  <si>
    <t xml:space="preserve"> Agua para mezcla de concreto: </t>
  </si>
  <si>
    <t xml:space="preserve"> Material para armadura de refuerzo: </t>
  </si>
  <si>
    <t>Cuadro de propiedades de las barras de acero</t>
  </si>
  <si>
    <t>VARILLAS</t>
  </si>
  <si>
    <t>DIÁMETRO</t>
  </si>
  <si>
    <t>PROPIEDADES</t>
  </si>
  <si>
    <t>Ø"</t>
  </si>
  <si>
    <t>mm</t>
  </si>
  <si>
    <t>Perím. (cm)</t>
  </si>
  <si>
    <t>Peso(Kg/m)</t>
  </si>
  <si>
    <t>3/8"</t>
  </si>
  <si>
    <t xml:space="preserve"> -</t>
  </si>
  <si>
    <t>1/2"</t>
  </si>
  <si>
    <t>5/8"</t>
  </si>
  <si>
    <t>3/4"</t>
  </si>
  <si>
    <t>Elegir en las listas desplegables si se utilizó o no cada diámetro de acero</t>
  </si>
  <si>
    <t xml:space="preserve"> -Armadura Longitudinal utilizada:</t>
  </si>
  <si>
    <t xml:space="preserve"> -Alambre negro N°16 para amarrar acero:</t>
  </si>
  <si>
    <t>kg/kg de A°</t>
  </si>
  <si>
    <t>(Cambiar sólo si se tiene mayor exactitud)</t>
  </si>
  <si>
    <t xml:space="preserve"> Material para encofrado de Zapatas: </t>
  </si>
  <si>
    <t xml:space="preserve"> -Madera para encofrado:</t>
  </si>
  <si>
    <t>(Cambiar sólo si tiene datos más exactos)</t>
  </si>
  <si>
    <t xml:space="preserve"> -Clavos de 3"</t>
  </si>
  <si>
    <t>A.2. DATOS DE MANO DE OBRA</t>
  </si>
  <si>
    <t>Rendimientos</t>
  </si>
  <si>
    <t>Op. Equipo liviano</t>
  </si>
  <si>
    <t>Concreto en Zapatas</t>
  </si>
  <si>
    <t>Encofr. y desncof.</t>
  </si>
  <si>
    <t>Acero de refuerzo</t>
  </si>
  <si>
    <t>kg/dia</t>
  </si>
  <si>
    <t>A.3. DATOS DEL EQUIPO Y HERRAMIENTAS</t>
  </si>
  <si>
    <t xml:space="preserve"> Equipos para mezclado y vaciado: </t>
  </si>
  <si>
    <t>(Elegir la cantidad de equipos utilizados)</t>
  </si>
  <si>
    <t xml:space="preserve"> -Vibrador de concreto 4 HP 1.50":</t>
  </si>
  <si>
    <t>Equipo</t>
  </si>
  <si>
    <t>Herramientas manuales utilizadas:</t>
  </si>
  <si>
    <t>A.4. DATOS DE LOS COSTOS</t>
  </si>
  <si>
    <t xml:space="preserve">Arena gruesa </t>
  </si>
  <si>
    <t xml:space="preserve">Piedra para concreto </t>
  </si>
  <si>
    <t>Alambre negro N° 16</t>
  </si>
  <si>
    <t>Madera para encofrado</t>
  </si>
  <si>
    <t>Clavos de 3"</t>
  </si>
  <si>
    <t xml:space="preserve"> Vibrador de concreto 4 HP 1.50"</t>
  </si>
  <si>
    <t>Provienen de los metrados</t>
  </si>
  <si>
    <t>Concreto según metrados</t>
  </si>
  <si>
    <t>Desperdicio de mezcla para concreto =</t>
  </si>
  <si>
    <t>Total de concreto</t>
  </si>
  <si>
    <t xml:space="preserve"> Madera para encofrado:</t>
  </si>
  <si>
    <t xml:space="preserve"> Clavos de 3"</t>
  </si>
  <si>
    <t>Materiales finales (incluido el desperdicio) para el total de encofrados:</t>
  </si>
  <si>
    <t>Desperdicio aproximado =</t>
  </si>
  <si>
    <t>Acero fy=4200 kg/cm² grado 60</t>
  </si>
  <si>
    <t>Peso del acero por metro de varilla:</t>
  </si>
  <si>
    <t>Acero de 3/8"</t>
  </si>
  <si>
    <t>Acero de 1/2"</t>
  </si>
  <si>
    <t>Acero de 5/8"</t>
  </si>
  <si>
    <t>Acero de 3/4"</t>
  </si>
  <si>
    <t>Longitud de varilla =</t>
  </si>
  <si>
    <t>m</t>
  </si>
  <si>
    <t>Desperdicio de acero 3/8"=</t>
  </si>
  <si>
    <t>Desperdicio de acero 1/2"=</t>
  </si>
  <si>
    <t>Desperdicio de acero 5/8"=</t>
  </si>
  <si>
    <t>Desperdicio de acero 3/4"=</t>
  </si>
  <si>
    <t xml:space="preserve"> Alambre negro N°16</t>
  </si>
  <si>
    <t>C. CÁLCULO DE LA MANO DE OBRA</t>
  </si>
  <si>
    <t>Vibrador de concreto 4 HP 1.50"</t>
  </si>
  <si>
    <t>E. ANÁLISIS DE LOS COSTOS UNITARIOS</t>
  </si>
  <si>
    <t>OPERAD. EQ. LIVIANO</t>
  </si>
  <si>
    <t>ARENA GRUESA</t>
  </si>
  <si>
    <t>PIEDRA PARA CONCRETO</t>
  </si>
  <si>
    <t>VIBRADOR DE CONCRETO 4 HP 1.50"</t>
  </si>
  <si>
    <t>MADERA PARA ENCOFRADO</t>
  </si>
  <si>
    <t>CLAVOS DE 3"</t>
  </si>
  <si>
    <t>ACERO DE REFUERZO fy = 4200 kg/cm², GRADO 60</t>
  </si>
  <si>
    <t>ALAMBRE NEGRO N° 16</t>
  </si>
  <si>
    <t>ACERO DE REFUERZO                   fy = 4200 kg/cm²            GRADO 60</t>
  </si>
  <si>
    <t>Alambre negro N°16</t>
  </si>
  <si>
    <t>Alambre negro N°8</t>
  </si>
  <si>
    <t>EQUIPO Y MAQUINARIA</t>
  </si>
  <si>
    <r>
      <t>Concreto    f</t>
    </r>
    <r>
      <rPr>
        <b/>
        <sz val="11"/>
        <color theme="1"/>
        <rFont val="Calibri"/>
        <family val="2"/>
      </rPr>
      <t>ˈc (kg/cm²)</t>
    </r>
  </si>
  <si>
    <r>
      <t>Materiales por m</t>
    </r>
    <r>
      <rPr>
        <sz val="12"/>
        <color theme="1"/>
        <rFont val="Calibri"/>
        <family val="2"/>
      </rPr>
      <t>³</t>
    </r>
  </si>
  <si>
    <r>
      <t>Arena (m</t>
    </r>
    <r>
      <rPr>
        <b/>
        <sz val="11"/>
        <color theme="1"/>
        <rFont val="Calibri"/>
        <family val="2"/>
      </rPr>
      <t>³)</t>
    </r>
  </si>
  <si>
    <r>
      <t>Piedra (m</t>
    </r>
    <r>
      <rPr>
        <b/>
        <sz val="11"/>
        <color theme="1"/>
        <rFont val="Calibri"/>
        <family val="2"/>
      </rPr>
      <t>³)</t>
    </r>
  </si>
  <si>
    <r>
      <t>Agua (m</t>
    </r>
    <r>
      <rPr>
        <b/>
        <sz val="11"/>
        <color theme="1"/>
        <rFont val="Calibri"/>
        <family val="2"/>
      </rPr>
      <t>³)</t>
    </r>
  </si>
  <si>
    <t>1 : 2 : 2</t>
  </si>
  <si>
    <t>1 : 1 : 1.5</t>
  </si>
  <si>
    <r>
      <t>Considera la piedra de 1/2</t>
    </r>
    <r>
      <rPr>
        <i/>
        <sz val="10"/>
        <color theme="3" tint="-0.499984740745262"/>
        <rFont val="Calibri"/>
        <family val="2"/>
      </rPr>
      <t xml:space="preserve">ˈˈ y la arena con un módulo de finura entre 2.40 a 3.00 </t>
    </r>
  </si>
  <si>
    <r>
      <t>bolsas/m</t>
    </r>
    <r>
      <rPr>
        <i/>
        <sz val="12"/>
        <color theme="1"/>
        <rFont val="Calibri"/>
        <family val="2"/>
      </rPr>
      <t>³</t>
    </r>
    <r>
      <rPr>
        <i/>
        <sz val="11"/>
        <color theme="1"/>
        <rFont val="Calibri"/>
        <family val="2"/>
      </rPr>
      <t xml:space="preserve"> de concreto</t>
    </r>
  </si>
  <si>
    <r>
      <t>m</t>
    </r>
    <r>
      <rPr>
        <i/>
        <sz val="12"/>
        <color theme="1"/>
        <rFont val="Calibri"/>
        <family val="2"/>
      </rPr>
      <t>³/m³ de concreto</t>
    </r>
  </si>
  <si>
    <r>
      <t>Secc. (cm</t>
    </r>
    <r>
      <rPr>
        <sz val="11"/>
        <color theme="1"/>
        <rFont val="Calibri"/>
        <family val="2"/>
      </rPr>
      <t>²</t>
    </r>
    <r>
      <rPr>
        <sz val="11"/>
        <color theme="1"/>
        <rFont val="Calibri"/>
        <family val="2"/>
        <scheme val="minor"/>
      </rPr>
      <t>)</t>
    </r>
  </si>
  <si>
    <r>
      <t xml:space="preserve">Se utilizó varilla de   </t>
    </r>
    <r>
      <rPr>
        <b/>
        <i/>
        <sz val="11"/>
        <color theme="1"/>
        <rFont val="Calibri"/>
        <family val="2"/>
        <scheme val="minor"/>
      </rPr>
      <t>Ø  3/8"</t>
    </r>
    <r>
      <rPr>
        <i/>
        <sz val="11"/>
        <color theme="1"/>
        <rFont val="Calibri"/>
        <family val="2"/>
        <scheme val="minor"/>
      </rPr>
      <t>:</t>
    </r>
  </si>
  <si>
    <r>
      <t xml:space="preserve">Se utilizó varilla de   </t>
    </r>
    <r>
      <rPr>
        <b/>
        <i/>
        <sz val="11"/>
        <color theme="1"/>
        <rFont val="Calibri"/>
        <family val="2"/>
        <scheme val="minor"/>
      </rPr>
      <t>Ø  1/2"</t>
    </r>
    <r>
      <rPr>
        <i/>
        <sz val="11"/>
        <color theme="1"/>
        <rFont val="Calibri"/>
        <family val="2"/>
        <scheme val="minor"/>
      </rPr>
      <t>:</t>
    </r>
  </si>
  <si>
    <r>
      <t xml:space="preserve">Se utilizó varilla de  </t>
    </r>
    <r>
      <rPr>
        <b/>
        <i/>
        <sz val="11"/>
        <color theme="1"/>
        <rFont val="Calibri"/>
        <family val="2"/>
        <scheme val="minor"/>
      </rPr>
      <t xml:space="preserve"> Ø  5/8"</t>
    </r>
    <r>
      <rPr>
        <i/>
        <sz val="11"/>
        <color theme="1"/>
        <rFont val="Calibri"/>
        <family val="2"/>
        <scheme val="minor"/>
      </rPr>
      <t>:</t>
    </r>
  </si>
  <si>
    <r>
      <t xml:space="preserve">Se utilizó varilla de   </t>
    </r>
    <r>
      <rPr>
        <b/>
        <i/>
        <sz val="11"/>
        <color theme="1"/>
        <rFont val="Calibri"/>
        <family val="2"/>
        <scheme val="minor"/>
      </rPr>
      <t>Ø  3/4"</t>
    </r>
    <r>
      <rPr>
        <i/>
        <sz val="11"/>
        <color theme="1"/>
        <rFont val="Calibri"/>
        <family val="2"/>
        <scheme val="minor"/>
      </rPr>
      <t>:</t>
    </r>
  </si>
  <si>
    <r>
      <t>P</t>
    </r>
    <r>
      <rPr>
        <sz val="12"/>
        <color theme="1"/>
        <rFont val="Calibri"/>
        <family val="2"/>
      </rPr>
      <t>²</t>
    </r>
    <r>
      <rPr>
        <sz val="11"/>
        <color theme="1"/>
        <rFont val="Calibri"/>
        <family val="2"/>
      </rPr>
      <t>/m</t>
    </r>
    <r>
      <rPr>
        <sz val="12"/>
        <color theme="1"/>
        <rFont val="Calibri"/>
        <family val="2"/>
      </rPr>
      <t>²</t>
    </r>
    <r>
      <rPr>
        <sz val="11"/>
        <color theme="1"/>
        <rFont val="Calibri"/>
        <family val="2"/>
      </rPr>
      <t xml:space="preserve"> de encofrado</t>
    </r>
  </si>
  <si>
    <r>
      <t>kg/m</t>
    </r>
    <r>
      <rPr>
        <sz val="12"/>
        <color theme="1"/>
        <rFont val="Calibri"/>
        <family val="2"/>
        <scheme val="minor"/>
      </rPr>
      <t>²</t>
    </r>
    <r>
      <rPr>
        <sz val="11"/>
        <color theme="1"/>
        <rFont val="Calibri"/>
        <family val="2"/>
        <scheme val="minor"/>
      </rPr>
      <t xml:space="preserve"> de encofrado</t>
    </r>
  </si>
  <si>
    <r>
      <t>m</t>
    </r>
    <r>
      <rPr>
        <sz val="12"/>
        <rFont val="Calibri"/>
        <family val="2"/>
      </rPr>
      <t>³/dia</t>
    </r>
  </si>
  <si>
    <r>
      <t>m</t>
    </r>
    <r>
      <rPr>
        <sz val="12"/>
        <rFont val="Calibri"/>
        <family val="2"/>
      </rPr>
      <t>²/dia</t>
    </r>
  </si>
  <si>
    <r>
      <t xml:space="preserve"> -Mezcladora de concreto 13 HP 11-12 P</t>
    </r>
    <r>
      <rPr>
        <b/>
        <sz val="11"/>
        <color theme="1"/>
        <rFont val="Calibri"/>
        <family val="2"/>
      </rPr>
      <t>³:</t>
    </r>
  </si>
  <si>
    <r>
      <t>P</t>
    </r>
    <r>
      <rPr>
        <i/>
        <sz val="12"/>
        <color theme="1"/>
        <rFont val="Calibri"/>
        <family val="2"/>
      </rPr>
      <t>²</t>
    </r>
  </si>
  <si>
    <r>
      <t xml:space="preserve"> Mezcladora de concreto 13 HP 11-12 P</t>
    </r>
    <r>
      <rPr>
        <i/>
        <sz val="10"/>
        <color theme="1"/>
        <rFont val="Calibri"/>
        <family val="2"/>
      </rPr>
      <t>³</t>
    </r>
  </si>
  <si>
    <r>
      <t>m</t>
    </r>
    <r>
      <rPr>
        <sz val="12"/>
        <color theme="1"/>
        <rFont val="Calibri"/>
        <family val="2"/>
      </rPr>
      <t>²</t>
    </r>
  </si>
  <si>
    <r>
      <t>Materiales por m</t>
    </r>
    <r>
      <rPr>
        <b/>
        <i/>
        <sz val="12"/>
        <color theme="1"/>
        <rFont val="Calibri"/>
        <family val="2"/>
      </rPr>
      <t xml:space="preserve">³ </t>
    </r>
    <r>
      <rPr>
        <b/>
        <i/>
        <sz val="11"/>
        <color theme="1"/>
        <rFont val="Calibri"/>
        <family val="2"/>
      </rPr>
      <t>de concreto</t>
    </r>
  </si>
  <si>
    <r>
      <t>bolsas/m</t>
    </r>
    <r>
      <rPr>
        <sz val="12"/>
        <color theme="1"/>
        <rFont val="Calibri"/>
        <family val="2"/>
        <scheme val="minor"/>
      </rPr>
      <t>³</t>
    </r>
  </si>
  <si>
    <r>
      <t>m</t>
    </r>
    <r>
      <rPr>
        <sz val="12"/>
        <color theme="1"/>
        <rFont val="Calibri"/>
        <family val="2"/>
        <scheme val="minor"/>
      </rPr>
      <t>³</t>
    </r>
    <r>
      <rPr>
        <sz val="11"/>
        <color theme="1"/>
        <rFont val="Calibri"/>
        <family val="2"/>
        <scheme val="minor"/>
      </rPr>
      <t>/m</t>
    </r>
    <r>
      <rPr>
        <sz val="12"/>
        <color theme="1"/>
        <rFont val="Calibri"/>
        <family val="2"/>
        <scheme val="minor"/>
      </rPr>
      <t>³</t>
    </r>
  </si>
  <si>
    <r>
      <t>P</t>
    </r>
    <r>
      <rPr>
        <sz val="12"/>
        <color theme="1"/>
        <rFont val="Calibri"/>
        <family val="2"/>
      </rPr>
      <t>²/m²</t>
    </r>
  </si>
  <si>
    <r>
      <t>kg/m</t>
    </r>
    <r>
      <rPr>
        <sz val="12"/>
        <color theme="1"/>
        <rFont val="Calibri"/>
        <family val="2"/>
        <scheme val="minor"/>
      </rPr>
      <t>²</t>
    </r>
  </si>
  <si>
    <r>
      <t>P</t>
    </r>
    <r>
      <rPr>
        <b/>
        <sz val="12"/>
        <color theme="1"/>
        <rFont val="Calibri"/>
        <family val="2"/>
      </rPr>
      <t>²</t>
    </r>
    <r>
      <rPr>
        <sz val="11"/>
        <color theme="1"/>
        <rFont val="Calibri"/>
        <family val="2"/>
      </rPr>
      <t/>
    </r>
  </si>
  <si>
    <r>
      <t>Materiales por kg de acero (aporte unitario)</t>
    </r>
    <r>
      <rPr>
        <b/>
        <i/>
        <sz val="11"/>
        <color theme="1"/>
        <rFont val="Calibri"/>
        <family val="2"/>
      </rPr>
      <t>:</t>
    </r>
  </si>
  <si>
    <r>
      <t>f</t>
    </r>
    <r>
      <rPr>
        <sz val="11"/>
        <color theme="1"/>
        <rFont val="Calibri"/>
        <family val="2"/>
      </rPr>
      <t>'c =</t>
    </r>
  </si>
  <si>
    <r>
      <t>kg/cm</t>
    </r>
    <r>
      <rPr>
        <sz val="12"/>
        <color theme="1"/>
        <rFont val="Calibri"/>
        <family val="2"/>
      </rPr>
      <t>²</t>
    </r>
  </si>
  <si>
    <r>
      <t>m</t>
    </r>
    <r>
      <rPr>
        <sz val="12"/>
        <color theme="1"/>
        <rFont val="Calibri"/>
        <family val="2"/>
      </rPr>
      <t>²/dia</t>
    </r>
  </si>
  <si>
    <r>
      <t>Cantidad de H-H por kg de acero fy=4200 kg/cm</t>
    </r>
    <r>
      <rPr>
        <b/>
        <u/>
        <sz val="11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  <scheme val="minor"/>
      </rPr>
      <t>, Grado 60</t>
    </r>
    <r>
      <rPr>
        <b/>
        <i/>
        <u/>
        <sz val="11"/>
        <color theme="1"/>
        <rFont val="Calibri"/>
        <family val="2"/>
      </rPr>
      <t>:</t>
    </r>
  </si>
  <si>
    <r>
      <t>ACERO DE REFUERZO              fy = 4200 kg/cm</t>
    </r>
    <r>
      <rPr>
        <sz val="12"/>
        <color theme="1"/>
        <rFont val="Calibri"/>
        <family val="2"/>
      </rPr>
      <t>²         Grado 60</t>
    </r>
  </si>
  <si>
    <r>
      <t>m</t>
    </r>
    <r>
      <rPr>
        <sz val="12"/>
        <color theme="1"/>
        <rFont val="Calibri"/>
        <family val="2"/>
      </rPr>
      <t>²</t>
    </r>
    <r>
      <rPr>
        <sz val="11"/>
        <color theme="1"/>
        <rFont val="Calibri"/>
        <family val="2"/>
        <scheme val="minor"/>
      </rPr>
      <t>/dia</t>
    </r>
  </si>
  <si>
    <r>
      <t>m</t>
    </r>
    <r>
      <rPr>
        <b/>
        <sz val="12"/>
        <color theme="1"/>
        <rFont val="Calibri"/>
        <family val="2"/>
      </rPr>
      <t>²</t>
    </r>
  </si>
  <si>
    <r>
      <t>P</t>
    </r>
    <r>
      <rPr>
        <sz val="12"/>
        <color theme="1"/>
        <rFont val="Calibri"/>
        <family val="2"/>
      </rPr>
      <t>²</t>
    </r>
  </si>
  <si>
    <r>
      <t>ACERO CORRUGADO fy=4200 kg/cm</t>
    </r>
    <r>
      <rPr>
        <sz val="11"/>
        <color theme="1"/>
        <rFont val="Calibri"/>
        <family val="2"/>
      </rPr>
      <t>²</t>
    </r>
    <r>
      <rPr>
        <sz val="10"/>
        <color theme="1"/>
        <rFont val="Calibri"/>
        <family val="2"/>
        <scheme val="minor"/>
      </rPr>
      <t xml:space="preserve"> GRADO 60</t>
    </r>
  </si>
  <si>
    <r>
      <rPr>
        <b/>
        <sz val="11"/>
        <color theme="1"/>
        <rFont val="Calibri"/>
        <family val="2"/>
        <scheme val="minor"/>
      </rPr>
      <t>m</t>
    </r>
    <r>
      <rPr>
        <b/>
        <sz val="12"/>
        <color theme="1"/>
        <rFont val="Calibri"/>
        <family val="2"/>
      </rPr>
      <t>³</t>
    </r>
  </si>
  <si>
    <r>
      <t>f</t>
    </r>
    <r>
      <rPr>
        <i/>
        <sz val="10"/>
        <color theme="1"/>
        <rFont val="Calibri"/>
        <family val="2"/>
      </rPr>
      <t>'c =</t>
    </r>
  </si>
  <si>
    <r>
      <t>kg/cm</t>
    </r>
    <r>
      <rPr>
        <sz val="10"/>
        <color theme="1"/>
        <rFont val="Calibri"/>
        <family val="2"/>
      </rPr>
      <t>²</t>
    </r>
  </si>
  <si>
    <r>
      <t>P</t>
    </r>
    <r>
      <rPr>
        <i/>
        <sz val="14"/>
        <color theme="1"/>
        <rFont val="Calibri"/>
        <family val="2"/>
      </rPr>
      <t>²</t>
    </r>
  </si>
  <si>
    <t>CAMBIAR SÓLO LOS DATOS DE COLOR  ROJO</t>
  </si>
  <si>
    <t xml:space="preserve">             CAMBIAR SÓLO LOS DATOS DE COLOR ROJO</t>
  </si>
  <si>
    <t>CAMBIAR SÓLO LOS DATOS DE COLOR ROJO</t>
  </si>
  <si>
    <t>A.1.1. DATOS DE MATERIALES PARA ZAPATAS</t>
  </si>
  <si>
    <t>A.1.2. DATOS DE MATERIALES PARA SOLADOS</t>
  </si>
  <si>
    <t>Proporciones usualmente utilizadas en concreto simple, según CAPECO</t>
  </si>
  <si>
    <t>Proporción c:h</t>
  </si>
  <si>
    <r>
      <t>Materiales por m</t>
    </r>
    <r>
      <rPr>
        <sz val="12"/>
        <color theme="1"/>
        <rFont val="Calibri"/>
        <family val="2"/>
      </rPr>
      <t xml:space="preserve">³ </t>
    </r>
    <r>
      <rPr>
        <sz val="11"/>
        <color theme="1"/>
        <rFont val="Calibri"/>
        <family val="2"/>
      </rPr>
      <t>de concreto simple</t>
    </r>
  </si>
  <si>
    <t>Cemento(bls)</t>
  </si>
  <si>
    <r>
      <t>Hormigón(m</t>
    </r>
    <r>
      <rPr>
        <sz val="12"/>
        <color theme="1"/>
        <rFont val="Calibri"/>
        <family val="2"/>
      </rPr>
      <t>³</t>
    </r>
    <r>
      <rPr>
        <sz val="11"/>
        <color theme="1"/>
        <rFont val="Calibri"/>
        <family val="2"/>
      </rPr>
      <t>)</t>
    </r>
  </si>
  <si>
    <t>1:8</t>
  </si>
  <si>
    <t>1:9</t>
  </si>
  <si>
    <t>1:10</t>
  </si>
  <si>
    <t>1:12</t>
  </si>
  <si>
    <r>
      <t xml:space="preserve"> </t>
    </r>
    <r>
      <rPr>
        <b/>
        <i/>
        <sz val="11"/>
        <color theme="1"/>
        <rFont val="Calibri"/>
        <family val="2"/>
        <scheme val="minor"/>
      </rPr>
      <t>-Proporción concreto Cemento/Hormig:</t>
    </r>
  </si>
  <si>
    <t>(elegir proporción en la lista despleg.)</t>
  </si>
  <si>
    <t>cm</t>
  </si>
  <si>
    <t>Concreto Simple para SOLADOS</t>
  </si>
  <si>
    <t>Concreto para ZAPATAS</t>
  </si>
  <si>
    <t>Acero de refuerzo utilizado en ZAPATAS</t>
  </si>
  <si>
    <r>
      <t xml:space="preserve"> </t>
    </r>
    <r>
      <rPr>
        <b/>
        <i/>
        <sz val="11"/>
        <color theme="1"/>
        <rFont val="Calibri"/>
        <family val="2"/>
        <scheme val="minor"/>
      </rPr>
      <t>-Espesor del solado: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</si>
  <si>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para zapatas: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</si>
  <si>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en solados:</t>
    </r>
  </si>
  <si>
    <t>Concreto para Solados</t>
  </si>
  <si>
    <r>
      <t xml:space="preserve"> El costo de la máquina mezcladora </t>
    </r>
    <r>
      <rPr>
        <i/>
        <u/>
        <sz val="11"/>
        <color theme="1"/>
        <rFont val="Calibri"/>
        <family val="2"/>
        <scheme val="minor"/>
      </rPr>
      <t>incluye la gasolina</t>
    </r>
    <r>
      <rPr>
        <i/>
        <sz val="11"/>
        <color theme="1"/>
        <rFont val="Calibri"/>
        <family val="2"/>
        <scheme val="minor"/>
      </rPr>
      <t>??</t>
    </r>
  </si>
  <si>
    <r>
      <t xml:space="preserve"> El costo de la máquina mezcladora </t>
    </r>
    <r>
      <rPr>
        <i/>
        <u/>
        <sz val="11"/>
        <color theme="1"/>
        <rFont val="Calibri"/>
        <family val="2"/>
        <scheme val="minor"/>
      </rPr>
      <t>incluye la grasa</t>
    </r>
    <r>
      <rPr>
        <i/>
        <sz val="11"/>
        <color theme="1"/>
        <rFont val="Calibri"/>
        <family val="2"/>
        <scheme val="minor"/>
      </rPr>
      <t>??</t>
    </r>
  </si>
  <si>
    <t>(Elegir en el desplegable si lo lleva o no incluido)</t>
  </si>
  <si>
    <t>En caso de ya llevarlo incluido colocarles 0.00</t>
  </si>
  <si>
    <t>(Elige en el desplegable si lo lleva o no incluido)</t>
  </si>
  <si>
    <t>Area gruesa</t>
  </si>
  <si>
    <t xml:space="preserve"> Es obra mayor a 50 UIT?</t>
  </si>
  <si>
    <t xml:space="preserve">   A.5. DATOS DE LAS ZAPATAS Y SOLADOS A PRESUPUESTAR (METRADOS)</t>
  </si>
  <si>
    <t xml:space="preserve"> -VOLUMEN DE CONCRETO EN ZAPATAS,</t>
  </si>
  <si>
    <t xml:space="preserve"> -ÁREA DE ENCOFRADOS PARA ZAPATAS</t>
  </si>
  <si>
    <t xml:space="preserve"> -ACERO PARA ARMADURA DE ZAPATAS:</t>
  </si>
  <si>
    <t xml:space="preserve"> -CONCRETO SIMPLE PARA SOLADOS</t>
  </si>
  <si>
    <r>
      <t>Cantidad de concreto para todas las Zapatas</t>
    </r>
    <r>
      <rPr>
        <b/>
        <i/>
        <u/>
        <sz val="11"/>
        <color theme="1"/>
        <rFont val="Calibri"/>
        <family val="2"/>
      </rPr>
      <t>:</t>
    </r>
  </si>
  <si>
    <t>Cantidad final de concreto (incluido el desperdicio) para todas las Zapatas:</t>
  </si>
  <si>
    <r>
      <t>Cantidad de materiales para todas las Zapatas</t>
    </r>
    <r>
      <rPr>
        <b/>
        <i/>
        <u/>
        <sz val="11"/>
        <color theme="1"/>
        <rFont val="Calibri"/>
        <family val="2"/>
      </rPr>
      <t>:</t>
    </r>
  </si>
  <si>
    <t>Materiales finales (incluido el desperdicio) para el concreto de todas las Zapatas:</t>
  </si>
  <si>
    <r>
      <t>m</t>
    </r>
    <r>
      <rPr>
        <b/>
        <sz val="12"/>
        <color theme="1"/>
        <rFont val="Calibri"/>
        <family val="2"/>
        <scheme val="minor"/>
      </rPr>
      <t>³</t>
    </r>
    <r>
      <rPr>
        <b/>
        <sz val="11"/>
        <color theme="1"/>
        <rFont val="Calibri"/>
        <family val="2"/>
        <scheme val="minor"/>
      </rPr>
      <t>/m</t>
    </r>
    <r>
      <rPr>
        <b/>
        <sz val="12"/>
        <color theme="1"/>
        <rFont val="Calibri"/>
        <family val="2"/>
        <scheme val="minor"/>
      </rPr>
      <t>²</t>
    </r>
  </si>
  <si>
    <t>Espesor del Solado =</t>
  </si>
  <si>
    <t>TOTAL DE CONCRETO PARA SOLADOS</t>
  </si>
  <si>
    <r>
      <t>m</t>
    </r>
    <r>
      <rPr>
        <i/>
        <sz val="12"/>
        <color theme="1"/>
        <rFont val="Calibri"/>
        <family val="2"/>
      </rPr>
      <t>³</t>
    </r>
    <r>
      <rPr>
        <i/>
        <sz val="11"/>
        <color theme="1"/>
        <rFont val="Calibri"/>
        <family val="2"/>
      </rPr>
      <t>/m</t>
    </r>
    <r>
      <rPr>
        <sz val="12"/>
        <color theme="1"/>
        <rFont val="Calibri"/>
        <family val="2"/>
      </rPr>
      <t>²</t>
    </r>
  </si>
  <si>
    <r>
      <t>bolsas/m</t>
    </r>
    <r>
      <rPr>
        <sz val="12"/>
        <color theme="1"/>
        <rFont val="Calibri"/>
        <family val="2"/>
        <scheme val="minor"/>
      </rPr>
      <t>²</t>
    </r>
  </si>
  <si>
    <r>
      <t>m</t>
    </r>
    <r>
      <rPr>
        <sz val="12"/>
        <color theme="1"/>
        <rFont val="Calibri"/>
        <family val="2"/>
      </rPr>
      <t>³</t>
    </r>
    <r>
      <rPr>
        <sz val="11"/>
        <color theme="1"/>
        <rFont val="Calibri"/>
        <family val="2"/>
      </rPr>
      <t>/m</t>
    </r>
    <r>
      <rPr>
        <sz val="12"/>
        <color theme="1"/>
        <rFont val="Calibri"/>
        <family val="2"/>
      </rPr>
      <t>²</t>
    </r>
  </si>
  <si>
    <r>
      <t xml:space="preserve">Cálculo de materiales </t>
    </r>
    <r>
      <rPr>
        <b/>
        <i/>
        <u/>
        <sz val="12"/>
        <color theme="1"/>
        <rFont val="Calibri"/>
        <family val="2"/>
      </rPr>
      <t>del concreto simple para Solados</t>
    </r>
  </si>
  <si>
    <r>
      <t>Concreto por m</t>
    </r>
    <r>
      <rPr>
        <i/>
        <sz val="12"/>
        <color theme="1"/>
        <rFont val="Calibri"/>
        <family val="2"/>
        <scheme val="minor"/>
      </rPr>
      <t xml:space="preserve">² </t>
    </r>
    <r>
      <rPr>
        <i/>
        <sz val="11"/>
        <color theme="1"/>
        <rFont val="Calibri"/>
        <family val="2"/>
        <scheme val="minor"/>
      </rPr>
      <t>de Solados</t>
    </r>
  </si>
  <si>
    <r>
      <t xml:space="preserve"> Cantidad de materiales por m</t>
    </r>
    <r>
      <rPr>
        <b/>
        <i/>
        <sz val="12"/>
        <color theme="1"/>
        <rFont val="Calibri"/>
        <family val="2"/>
      </rPr>
      <t xml:space="preserve">² de Solados: </t>
    </r>
  </si>
  <si>
    <r>
      <t xml:space="preserve"> Cantidad de materiales (incluido desperdicio) por m</t>
    </r>
    <r>
      <rPr>
        <b/>
        <i/>
        <sz val="12"/>
        <color theme="1"/>
        <rFont val="Calibri"/>
        <family val="2"/>
      </rPr>
      <t xml:space="preserve">² de solados: </t>
    </r>
  </si>
  <si>
    <t>CANTIDAD TOTAL DE MATERIALES (INCLUIDO DESPERDICIO) PARA TODOS LOS SOLADOS:</t>
  </si>
  <si>
    <t>Proporciones del concreto</t>
  </si>
  <si>
    <r>
      <t xml:space="preserve"> Cantidad final (incluido desperdicios) de concreto para todos los Solados</t>
    </r>
    <r>
      <rPr>
        <b/>
        <i/>
        <sz val="11"/>
        <color theme="1"/>
        <rFont val="Calibri"/>
        <family val="2"/>
      </rPr>
      <t>:</t>
    </r>
  </si>
  <si>
    <r>
      <rPr>
        <b/>
        <i/>
        <u/>
        <sz val="11"/>
        <color theme="1"/>
        <rFont val="Calibri"/>
        <family val="2"/>
        <scheme val="minor"/>
      </rPr>
      <t>Cantidad de concreto para Solados, por m</t>
    </r>
    <r>
      <rPr>
        <b/>
        <i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>:</t>
    </r>
  </si>
  <si>
    <r>
      <t>Materiales por m</t>
    </r>
    <r>
      <rPr>
        <b/>
        <sz val="12"/>
        <color theme="1"/>
        <rFont val="Calibri"/>
        <family val="2"/>
      </rPr>
      <t>²</t>
    </r>
    <r>
      <rPr>
        <b/>
        <i/>
        <sz val="12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</rPr>
      <t>de encofrado de Zapatas:</t>
    </r>
  </si>
  <si>
    <t>Cantidades del acero en todas las Zapatas:</t>
  </si>
  <si>
    <t>Cantidad final del ACERO en todas las Zapatas:</t>
  </si>
  <si>
    <t>Cantidades finales (incluido el desperdicio) del acero en todas las Zapatas:</t>
  </si>
  <si>
    <r>
      <t>Volumen de concreto por m</t>
    </r>
    <r>
      <rPr>
        <b/>
        <sz val="12"/>
        <color theme="1"/>
        <rFont val="Calibri"/>
        <family val="2"/>
        <scheme val="minor"/>
      </rPr>
      <t>²</t>
    </r>
    <r>
      <rPr>
        <b/>
        <sz val="11"/>
        <color theme="1"/>
        <rFont val="Calibri"/>
        <family val="2"/>
        <scheme val="minor"/>
      </rPr>
      <t xml:space="preserve"> de Solado =</t>
    </r>
  </si>
  <si>
    <r>
      <t>Materiales por m</t>
    </r>
    <r>
      <rPr>
        <b/>
        <i/>
        <sz val="12"/>
        <color theme="1"/>
        <rFont val="Calibri"/>
        <family val="2"/>
      </rPr>
      <t>³</t>
    </r>
    <r>
      <rPr>
        <b/>
        <i/>
        <sz val="11"/>
        <color theme="1"/>
        <rFont val="Calibri"/>
        <family val="2"/>
      </rPr>
      <t xml:space="preserve"> de concreto simple</t>
    </r>
  </si>
  <si>
    <t>E =</t>
  </si>
  <si>
    <t>Mezcla =</t>
  </si>
  <si>
    <r>
      <t>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Zapatas:</t>
    </r>
  </si>
  <si>
    <t>CONCRETO PARA ZAPATAS</t>
  </si>
  <si>
    <r>
      <t>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encofrado de Zapatas:</t>
    </r>
  </si>
  <si>
    <t>ENCOFRADO Y DESENCOFRADO PARA ZAPATAS</t>
  </si>
  <si>
    <r>
      <t xml:space="preserve"> 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Solado:</t>
    </r>
  </si>
  <si>
    <t>CONCRETO SIMPLE PARA SOLADOS</t>
  </si>
  <si>
    <r>
      <t>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Zapatas:</t>
    </r>
  </si>
  <si>
    <r>
      <t xml:space="preserve"> Cantidad de H-M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Solado:</t>
    </r>
  </si>
  <si>
    <r>
      <t>CONCRETO PARA ZAPATAS f</t>
    </r>
    <r>
      <rPr>
        <sz val="11"/>
        <color theme="1"/>
        <rFont val="Calibri"/>
        <family val="2"/>
      </rPr>
      <t>'c =</t>
    </r>
  </si>
  <si>
    <t xml:space="preserve">MEZC. C:H </t>
  </si>
  <si>
    <r>
      <t>m</t>
    </r>
    <r>
      <rPr>
        <sz val="12"/>
        <color theme="1"/>
        <rFont val="Calibri"/>
        <family val="2"/>
      </rPr>
      <t>²</t>
    </r>
    <r>
      <rPr>
        <sz val="11"/>
        <color theme="1"/>
        <rFont val="Calibri"/>
        <family val="2"/>
      </rPr>
      <t>/dia</t>
    </r>
  </si>
  <si>
    <t>CONCRETO SIMPLE PARA SOLADOS,       E =</t>
  </si>
  <si>
    <t>(En el caso que NO los incluyera serán CONSIDERADOS APARTE)</t>
  </si>
  <si>
    <t>Hora-Máquina</t>
  </si>
  <si>
    <t>F. PRESUPUESTO PARA TODAS LAS ZAPATAS Y SOLADOS</t>
  </si>
  <si>
    <t>CONCRETO PARA SOLADOS</t>
  </si>
  <si>
    <t xml:space="preserve">                             PRESUPUESTO TOTAL PARA ZAPATAS Y SOLADOS</t>
  </si>
  <si>
    <t>con los Costos</t>
  </si>
  <si>
    <t>G. RELACIÓN DE INSUMOS PARA LA TOTALIDAD DE LAS ZAPATAS</t>
  </si>
  <si>
    <t>H. RELACIÓN DE INSUMOS PARA LA TOTALIDAD DE LOS SOLADOS</t>
  </si>
  <si>
    <t>(Elegir resistencia del concreto)</t>
  </si>
  <si>
    <t>6 mm</t>
  </si>
  <si>
    <t>8 mm</t>
  </si>
  <si>
    <t>1"</t>
  </si>
  <si>
    <r>
      <t xml:space="preserve">Se utilizó varilla de   </t>
    </r>
    <r>
      <rPr>
        <b/>
        <i/>
        <sz val="11"/>
        <color theme="1"/>
        <rFont val="Calibri"/>
        <family val="2"/>
        <scheme val="minor"/>
      </rPr>
      <t xml:space="preserve">Ø  1"  </t>
    </r>
    <r>
      <rPr>
        <i/>
        <sz val="11"/>
        <color theme="1"/>
        <rFont val="Calibri"/>
        <family val="2"/>
        <scheme val="minor"/>
      </rPr>
      <t>:</t>
    </r>
  </si>
  <si>
    <t>Elegir el diámetro de estribos utilizado</t>
  </si>
  <si>
    <t xml:space="preserve"> -Armadura Transversal utilizada (estribos):</t>
  </si>
  <si>
    <r>
      <t xml:space="preserve">Se utilizó varilla de  </t>
    </r>
    <r>
      <rPr>
        <b/>
        <i/>
        <sz val="11"/>
        <color theme="1"/>
        <rFont val="Calibri"/>
        <family val="2"/>
        <scheme val="minor"/>
      </rPr>
      <t>Ø 6 mm</t>
    </r>
    <r>
      <rPr>
        <i/>
        <sz val="11"/>
        <color theme="1"/>
        <rFont val="Calibri"/>
        <family val="2"/>
        <scheme val="minor"/>
      </rPr>
      <t>:</t>
    </r>
  </si>
  <si>
    <r>
      <t xml:space="preserve">Se utilizó varilla de  </t>
    </r>
    <r>
      <rPr>
        <b/>
        <i/>
        <sz val="11"/>
        <color theme="1"/>
        <rFont val="Calibri"/>
        <family val="2"/>
        <scheme val="minor"/>
      </rPr>
      <t>Ø 8 mm</t>
    </r>
    <r>
      <rPr>
        <i/>
        <sz val="11"/>
        <color theme="1"/>
        <rFont val="Calibri"/>
        <family val="2"/>
        <scheme val="minor"/>
      </rPr>
      <t>:</t>
    </r>
  </si>
  <si>
    <r>
      <t xml:space="preserve">Se utilizó varilla de  </t>
    </r>
    <r>
      <rPr>
        <b/>
        <i/>
        <sz val="11"/>
        <color theme="1"/>
        <rFont val="Calibri"/>
        <family val="2"/>
        <scheme val="minor"/>
      </rPr>
      <t xml:space="preserve"> Ø  3/8"</t>
    </r>
    <r>
      <rPr>
        <i/>
        <sz val="11"/>
        <color theme="1"/>
        <rFont val="Calibri"/>
        <family val="2"/>
        <scheme val="minor"/>
      </rPr>
      <t>:</t>
    </r>
  </si>
  <si>
    <t xml:space="preserve"> Material para el encofrado de Vigas: </t>
  </si>
  <si>
    <t xml:space="preserve"> -Alambre negro N°08:</t>
  </si>
  <si>
    <t>Costos incluido IGV</t>
  </si>
  <si>
    <t>Costos sin IGV</t>
  </si>
  <si>
    <t>Bolsa (42.5 kg)</t>
  </si>
  <si>
    <t>Alambre negro N° 8</t>
  </si>
  <si>
    <t xml:space="preserve"> -VOLUMEN DE CONCRETO EN VIGAS, DE</t>
  </si>
  <si>
    <t xml:space="preserve"> -ACERO PARA ARMADURA LONGITUDINAL:</t>
  </si>
  <si>
    <t xml:space="preserve"> -ACERO PARA ARMADURA TRANSVERSAL (ESTRIBOS):</t>
  </si>
  <si>
    <t>B.1. CÁLCULO DEL CONCRETO (cemento, arena, piedra, agua)</t>
  </si>
  <si>
    <r>
      <t>Cantidad de materiales para todas las Vigas</t>
    </r>
    <r>
      <rPr>
        <b/>
        <i/>
        <u/>
        <sz val="11"/>
        <color theme="1"/>
        <rFont val="Calibri"/>
        <family val="2"/>
      </rPr>
      <t>:</t>
    </r>
  </si>
  <si>
    <t>B.2. CÁLCULO DE MATERIAL PARA ENCOFRADO</t>
  </si>
  <si>
    <t xml:space="preserve"> Alambre negro N° 8:</t>
  </si>
  <si>
    <t xml:space="preserve"> Alambre negro N°8</t>
  </si>
  <si>
    <t>B.3. CÁLCULO DE LA CANTIDAD DE VARILLAS DE ACERO</t>
  </si>
  <si>
    <t>Acero de 6 mm</t>
  </si>
  <si>
    <t>Acero de 8 mm</t>
  </si>
  <si>
    <t>Acero de 1"</t>
  </si>
  <si>
    <t>B.3.1. Cantidades del ACERO LONGITUDINAL en todas las vigas:</t>
  </si>
  <si>
    <t>B.3.2. Cantidades del ACERO TRANSVERSAL (estribos) en todas las vigas:</t>
  </si>
  <si>
    <t>B.3.3. Cantidad total del ACERO LONGITUDINAL y TRANSVERSAL en todas las vigas:</t>
  </si>
  <si>
    <t>Cantidades finales (incluido el desperdicio) del acero en todas las Vigas:</t>
  </si>
  <si>
    <t>Desperdicio de acero 6 mm=</t>
  </si>
  <si>
    <t>Desperdicio de acero 8 mm=</t>
  </si>
  <si>
    <t>Desperdicio de acero 1"=</t>
  </si>
  <si>
    <t>ALAMBRE NEGRO N° 8</t>
  </si>
  <si>
    <t>B.1. CÁLCULO DE MATERIALES PARA LAS ZAPATAS</t>
  </si>
  <si>
    <t>B.1.1. CÁLCULO DEL CONCRETO (cemento, arena, piedra, agua) EN ZAPATAS</t>
  </si>
  <si>
    <t>B.1.2. CÁLCULO MATERIAL PARA ENCOFRADO DE ZAPATAS</t>
  </si>
  <si>
    <t>B.1.3. CÁLCULO DE LAS VARILLAS DE ACERO PARA LAS ZAPATAS</t>
  </si>
  <si>
    <t>B.2. CÁLCULO DE LOS MATERIALES PARA LOS SOLADOS</t>
  </si>
  <si>
    <r>
      <t>Materiales por m</t>
    </r>
    <r>
      <rPr>
        <b/>
        <i/>
        <sz val="12"/>
        <color theme="1"/>
        <rFont val="Calibri"/>
        <family val="2"/>
      </rPr>
      <t>³</t>
    </r>
    <r>
      <rPr>
        <b/>
        <i/>
        <sz val="11"/>
        <color theme="1"/>
        <rFont val="Calibri"/>
        <family val="2"/>
      </rPr>
      <t xml:space="preserve"> de concreto ciclópeo</t>
    </r>
  </si>
  <si>
    <t>SOBRECIMIENTO DE CONCRETO SIMPLE</t>
  </si>
  <si>
    <t>Concreto ciclópeo para sobrecimientos</t>
  </si>
  <si>
    <t>1:8 + 25% PM</t>
  </si>
  <si>
    <t>1:10 + 30% PM</t>
  </si>
  <si>
    <t>Para sobrecimientos se recomienda la proporción 1:8 + 25% PM</t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</si>
  <si>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del concreto:</t>
    </r>
  </si>
  <si>
    <t xml:space="preserve"> Material para el encofrado de Sobrecimientos: </t>
  </si>
  <si>
    <t>CONCRETO PARA SOBRECIMIENTOS</t>
  </si>
  <si>
    <r>
      <t>m</t>
    </r>
    <r>
      <rPr>
        <sz val="12"/>
        <rFont val="Calibri"/>
        <family val="2"/>
        <scheme val="minor"/>
      </rPr>
      <t>³</t>
    </r>
    <r>
      <rPr>
        <sz val="11"/>
        <rFont val="Calibri"/>
        <family val="2"/>
        <scheme val="minor"/>
      </rPr>
      <t>/dia</t>
    </r>
  </si>
  <si>
    <t>ENCOFRADO Y DESENCOF. NORMAL SOBRECIMIENTOS</t>
  </si>
  <si>
    <r>
      <t>m</t>
    </r>
    <r>
      <rPr>
        <sz val="12"/>
        <rFont val="Calibri"/>
        <family val="2"/>
      </rPr>
      <t>²</t>
    </r>
    <r>
      <rPr>
        <sz val="11"/>
        <rFont val="Calibri"/>
        <family val="2"/>
        <scheme val="minor"/>
      </rPr>
      <t>/dia</t>
    </r>
  </si>
  <si>
    <t>Piedra Mediana</t>
  </si>
  <si>
    <t>A.5. DATOS DEL SOBRECIMIENTO A PRESUESTAR (METRADOS)</t>
  </si>
  <si>
    <t>SOBRECIMIENTO</t>
  </si>
  <si>
    <t xml:space="preserve"> -ENCOFRADO Y DESENCOFRADO DE SOBRECIMIENTO</t>
  </si>
  <si>
    <t>B.1. CÁLCULO DE MATERIALES DEL CONCRETO CICLÓPEO PARA SOBRECIMENTOS</t>
  </si>
  <si>
    <t>B.1.1. Cálculo del total de concreto ciclópeo para sobrecimientos</t>
  </si>
  <si>
    <r>
      <t xml:space="preserve"> -Cantidad final (incluido desperdicios) de concreto ciclópeo para sobrecimientos</t>
    </r>
    <r>
      <rPr>
        <b/>
        <i/>
        <sz val="11"/>
        <color theme="1"/>
        <rFont val="Calibri"/>
        <family val="2"/>
      </rPr>
      <t>:</t>
    </r>
  </si>
  <si>
    <t>TOTAL CONCRETO CICLÓPEO EN SOBRECIMIENTOS</t>
  </si>
  <si>
    <r>
      <t xml:space="preserve">B.2.2. Cálculo de materiales </t>
    </r>
    <r>
      <rPr>
        <b/>
        <i/>
        <u/>
        <sz val="12"/>
        <color theme="1"/>
        <rFont val="Calibri"/>
        <family val="2"/>
      </rPr>
      <t>del concreto ciclópeo para sobrecimientos</t>
    </r>
  </si>
  <si>
    <t>CANTIDAD TOTAL DE MATERIALES (INCLUIDO DESPERDICIO) PARA TODO EL SOBRECIMIENTO:</t>
  </si>
  <si>
    <t>B.2. CÁLCULO DEL MATERIAL PARA EL ENCOFRADO</t>
  </si>
  <si>
    <r>
      <t>Materiales por m</t>
    </r>
    <r>
      <rPr>
        <b/>
        <sz val="12"/>
        <color theme="1"/>
        <rFont val="Calibri"/>
        <family val="2"/>
      </rPr>
      <t>²</t>
    </r>
    <r>
      <rPr>
        <b/>
        <i/>
        <sz val="12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</rPr>
      <t>de encofrado de sobrecimientos:</t>
    </r>
  </si>
  <si>
    <t>Materiales finales (incluido el desperdicio) para el total de sobrecimientos:</t>
  </si>
  <si>
    <r>
      <t xml:space="preserve"> -Cantidad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ciclópeo para sobrecimientos:</t>
    </r>
  </si>
  <si>
    <r>
      <t xml:space="preserve"> -Cantidad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2"/>
        <color theme="1"/>
        <rFont val="Calibri"/>
        <family val="2"/>
      </rPr>
      <t xml:space="preserve"> </t>
    </r>
    <r>
      <rPr>
        <b/>
        <i/>
        <u/>
        <sz val="11"/>
        <color theme="1"/>
        <rFont val="Calibri"/>
        <family val="2"/>
      </rPr>
      <t>de encofrado y desencofrado para sobrecimientos:</t>
    </r>
  </si>
  <si>
    <r>
      <t xml:space="preserve"> -Cantidad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ciclópeo para sobrecimientos:</t>
    </r>
  </si>
  <si>
    <t>ENCOFRADO Y DESENCOFRADO NORMAL PARA SOBRECIMIENTOS</t>
  </si>
  <si>
    <t>F. PRESUPUESTO DE TODOS LOS SOBRECIMIENTOS</t>
  </si>
  <si>
    <t>PRESUPUESTO TOTAL PARA SOBRECIMIENTOS</t>
  </si>
  <si>
    <t>G. RELACIÓN DE INSUMOS PARA LA TOTALIDAD DE SOBRECIMIENTOS</t>
  </si>
  <si>
    <t>Piedra mediana</t>
  </si>
  <si>
    <t>Madera para encofrados</t>
  </si>
  <si>
    <r>
      <t>P</t>
    </r>
    <r>
      <rPr>
        <sz val="11"/>
        <color theme="1"/>
        <rFont val="Calibri"/>
        <family val="2"/>
      </rPr>
      <t>²</t>
    </r>
  </si>
  <si>
    <t xml:space="preserve">MUROS DE LADRILLOS </t>
  </si>
  <si>
    <t>A. ESPECIFICACIONES DE LA NORMA E.070 - RNE</t>
  </si>
  <si>
    <t>A.1. Características de las unidades de albañilería:</t>
  </si>
  <si>
    <t>A.2. Uso de las unidades de albañilería por zona sísmica:</t>
  </si>
  <si>
    <t>A.3. Composición del mortero para muros de albañilería:</t>
  </si>
  <si>
    <t xml:space="preserve"> - Aglomerantes:</t>
  </si>
  <si>
    <t xml:space="preserve"> -Proporciones:</t>
  </si>
  <si>
    <t>B. DATOS DE ENTRADA</t>
  </si>
  <si>
    <t>B.1. Datos de los materiales:</t>
  </si>
  <si>
    <r>
      <t xml:space="preserve"> -Dimensiones: </t>
    </r>
    <r>
      <rPr>
        <i/>
        <sz val="11"/>
        <color rgb="FF0070C0"/>
        <rFont val="Calibri"/>
        <family val="2"/>
        <scheme val="minor"/>
      </rPr>
      <t>(cambiar dimensiones, dependiendo de la fábrica)</t>
    </r>
  </si>
  <si>
    <t>TIPO</t>
  </si>
  <si>
    <t>LARGO (cm)</t>
  </si>
  <si>
    <t>ANCHO (cm)</t>
  </si>
  <si>
    <t>ALTO (cm)</t>
  </si>
  <si>
    <t>King Kong</t>
  </si>
  <si>
    <t>Pandereta</t>
  </si>
  <si>
    <t>Artesanal</t>
  </si>
  <si>
    <t>Ladrillo</t>
  </si>
  <si>
    <t xml:space="preserve"> -Tipo:</t>
  </si>
  <si>
    <t>(elegir el nombre igual que en el cuadro anterior)</t>
  </si>
  <si>
    <t>ASENTADO</t>
  </si>
  <si>
    <t>soga</t>
  </si>
  <si>
    <t>cabeza</t>
  </si>
  <si>
    <t>canto</t>
  </si>
  <si>
    <t xml:space="preserve"> -Forma de asentado:</t>
  </si>
  <si>
    <t>(elergir una forma en la lista desplegable)</t>
  </si>
  <si>
    <r>
      <t xml:space="preserve"> </t>
    </r>
    <r>
      <rPr>
        <b/>
        <i/>
        <sz val="11"/>
        <color theme="1"/>
        <rFont val="Calibri"/>
        <family val="2"/>
        <scheme val="minor"/>
      </rPr>
      <t>-Proporción del mortero:</t>
    </r>
  </si>
  <si>
    <t>1:5</t>
  </si>
  <si>
    <t>Mortero</t>
  </si>
  <si>
    <r>
      <t xml:space="preserve"> </t>
    </r>
    <r>
      <rPr>
        <b/>
        <i/>
        <sz val="11"/>
        <color theme="1"/>
        <rFont val="Calibri"/>
        <family val="2"/>
        <scheme val="minor"/>
      </rPr>
      <t>-Relación de a/c: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</si>
  <si>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-Junta horizontal: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</si>
  <si>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-Junta vertical:</t>
    </r>
  </si>
  <si>
    <t xml:space="preserve"> -Ladrillo:</t>
  </si>
  <si>
    <t xml:space="preserve"> -Mortero:</t>
  </si>
  <si>
    <t>B.2. Datos de mano de obra:</t>
  </si>
  <si>
    <t>Jornada (h)</t>
  </si>
  <si>
    <r>
      <t>Rendimient. (m</t>
    </r>
    <r>
      <rPr>
        <sz val="11"/>
        <color theme="1"/>
        <rFont val="Calibri"/>
        <family val="2"/>
      </rPr>
      <t>²/dia)</t>
    </r>
  </si>
  <si>
    <t>Colocación</t>
  </si>
  <si>
    <t>Acarreo</t>
  </si>
  <si>
    <t>B.3. Datos de costos:</t>
  </si>
  <si>
    <t>millar</t>
  </si>
  <si>
    <t xml:space="preserve">      (Elegir en la lista despleg.     si se incluye o no el IGV)</t>
  </si>
  <si>
    <t xml:space="preserve">        (Elegir en la lista despleg. si es mayor o no, que 50 UIT)</t>
  </si>
  <si>
    <t>B.4. DATOS DE LOS MUROS A PRESUPUESTAR</t>
  </si>
  <si>
    <t xml:space="preserve"> -ÁREA TOTAL DE LOS MUROS:</t>
  </si>
  <si>
    <t>C. CÁLCULO DE MATERIALES</t>
  </si>
  <si>
    <t>C.1. Cálculo de ladrillo</t>
  </si>
  <si>
    <r>
      <t>Cantidad de ladrillos por m</t>
    </r>
    <r>
      <rPr>
        <b/>
        <i/>
        <sz val="11"/>
        <color theme="1"/>
        <rFont val="Calibri"/>
        <family val="2"/>
      </rPr>
      <t>²:</t>
    </r>
  </si>
  <si>
    <t>Asentado de ladrillo</t>
  </si>
  <si>
    <t>L =</t>
  </si>
  <si>
    <r>
      <t>J</t>
    </r>
    <r>
      <rPr>
        <i/>
        <sz val="8"/>
        <color theme="1"/>
        <rFont val="Calibri"/>
        <family val="2"/>
        <scheme val="minor"/>
      </rPr>
      <t>h</t>
    </r>
    <r>
      <rPr>
        <i/>
        <sz val="11"/>
        <color theme="1"/>
        <rFont val="Calibri"/>
        <family val="2"/>
        <scheme val="minor"/>
      </rPr>
      <t xml:space="preserve"> =</t>
    </r>
  </si>
  <si>
    <t>H =</t>
  </si>
  <si>
    <r>
      <t>J</t>
    </r>
    <r>
      <rPr>
        <i/>
        <sz val="8"/>
        <color theme="1"/>
        <rFont val="Calibri"/>
        <family val="2"/>
        <scheme val="minor"/>
      </rPr>
      <t>v</t>
    </r>
    <r>
      <rPr>
        <i/>
        <sz val="11"/>
        <color theme="1"/>
        <rFont val="Calibri"/>
        <family val="2"/>
        <scheme val="minor"/>
      </rPr>
      <t xml:space="preserve"> =</t>
    </r>
  </si>
  <si>
    <t>CL =</t>
  </si>
  <si>
    <r>
      <t>Ladrillos/m</t>
    </r>
    <r>
      <rPr>
        <b/>
        <sz val="11"/>
        <color theme="1"/>
        <rFont val="Calibri"/>
        <family val="2"/>
      </rPr>
      <t>²</t>
    </r>
  </si>
  <si>
    <r>
      <t>Cantidad de ladrillos para el total de muros</t>
    </r>
    <r>
      <rPr>
        <b/>
        <i/>
        <sz val="11"/>
        <color theme="1"/>
        <rFont val="Calibri"/>
        <family val="2"/>
      </rPr>
      <t>:</t>
    </r>
  </si>
  <si>
    <t>Ladrillos por m² de muro =</t>
  </si>
  <si>
    <r>
      <t>ladrillos/m</t>
    </r>
    <r>
      <rPr>
        <i/>
        <sz val="11"/>
        <color theme="1"/>
        <rFont val="Calibri"/>
        <family val="2"/>
      </rPr>
      <t>²</t>
    </r>
  </si>
  <si>
    <t>Total ladrillo</t>
  </si>
  <si>
    <t>ladrillos</t>
  </si>
  <si>
    <t>Cantidad final (incluido el desperdicio) de ladrillo para el total de muros:</t>
  </si>
  <si>
    <t>Desperdicio de ladrillo =</t>
  </si>
  <si>
    <t>C.2. Cálculo de mortero</t>
  </si>
  <si>
    <r>
      <t>Cantidad de mortero por m</t>
    </r>
    <r>
      <rPr>
        <b/>
        <i/>
        <sz val="11"/>
        <color theme="1"/>
        <rFont val="Calibri"/>
        <family val="2"/>
      </rPr>
      <t>²:</t>
    </r>
  </si>
  <si>
    <t xml:space="preserve">Ancho del muro de </t>
  </si>
  <si>
    <t>asentado con ladrillo</t>
  </si>
  <si>
    <r>
      <t>V</t>
    </r>
    <r>
      <rPr>
        <i/>
        <sz val="8"/>
        <color theme="1"/>
        <rFont val="Calibri"/>
        <family val="2"/>
        <scheme val="minor"/>
      </rPr>
      <t>mu</t>
    </r>
    <r>
      <rPr>
        <i/>
        <sz val="11"/>
        <color theme="1"/>
        <rFont val="Calibri"/>
        <family val="2"/>
        <scheme val="minor"/>
      </rPr>
      <t xml:space="preserve"> =</t>
    </r>
  </si>
  <si>
    <r>
      <t>V</t>
    </r>
    <r>
      <rPr>
        <i/>
        <sz val="8"/>
        <color theme="1"/>
        <rFont val="Calibri"/>
        <family val="2"/>
        <scheme val="minor"/>
      </rPr>
      <t>la</t>
    </r>
    <r>
      <rPr>
        <i/>
        <sz val="11"/>
        <color theme="1"/>
        <rFont val="Calibri"/>
        <family val="2"/>
        <scheme val="minor"/>
      </rPr>
      <t xml:space="preserve"> =</t>
    </r>
  </si>
  <si>
    <r>
      <t>V</t>
    </r>
    <r>
      <rPr>
        <b/>
        <sz val="8"/>
        <color theme="1"/>
        <rFont val="Calibri"/>
        <family val="2"/>
        <scheme val="minor"/>
      </rPr>
      <t>mo</t>
    </r>
    <r>
      <rPr>
        <b/>
        <sz val="11"/>
        <color theme="1"/>
        <rFont val="Calibri"/>
        <family val="2"/>
        <scheme val="minor"/>
      </rPr>
      <t xml:space="preserve"> =</t>
    </r>
  </si>
  <si>
    <r>
      <t>m</t>
    </r>
    <r>
      <rPr>
        <b/>
        <sz val="11"/>
        <color theme="1"/>
        <rFont val="Calibri"/>
        <family val="2"/>
      </rPr>
      <t>³/m²</t>
    </r>
  </si>
  <si>
    <r>
      <t>Cantidad de mortero para el total de muros</t>
    </r>
    <r>
      <rPr>
        <b/>
        <i/>
        <sz val="11"/>
        <color theme="1"/>
        <rFont val="Calibri"/>
        <family val="2"/>
      </rPr>
      <t>:</t>
    </r>
  </si>
  <si>
    <t>Mortero por m² de muro =</t>
  </si>
  <si>
    <r>
      <t>m</t>
    </r>
    <r>
      <rPr>
        <sz val="11"/>
        <color theme="1"/>
        <rFont val="Calibri"/>
        <family val="2"/>
      </rPr>
      <t>³</t>
    </r>
    <r>
      <rPr>
        <i/>
        <sz val="11"/>
        <color theme="1"/>
        <rFont val="Calibri"/>
        <family val="2"/>
        <scheme val="minor"/>
      </rPr>
      <t>/m</t>
    </r>
    <r>
      <rPr>
        <i/>
        <sz val="11"/>
        <color theme="1"/>
        <rFont val="Calibri"/>
        <family val="2"/>
      </rPr>
      <t>²</t>
    </r>
  </si>
  <si>
    <t>Total de mortero</t>
  </si>
  <si>
    <t>Cantidad final (incluido el desperdicio) de mortero para el total de muros:</t>
  </si>
  <si>
    <t>Desperdicio de mortero =</t>
  </si>
  <si>
    <r>
      <t>C.3. Cálculo de materiales por m</t>
    </r>
    <r>
      <rPr>
        <b/>
        <u/>
        <sz val="12"/>
        <color theme="1"/>
        <rFont val="Calibri"/>
        <family val="2"/>
      </rPr>
      <t>³ de mortero</t>
    </r>
  </si>
  <si>
    <r>
      <t>Equivalencias del cemento</t>
    </r>
    <r>
      <rPr>
        <b/>
        <i/>
        <sz val="11"/>
        <color theme="1"/>
        <rFont val="Calibri"/>
        <family val="2"/>
      </rPr>
      <t xml:space="preserve">: </t>
    </r>
    <r>
      <rPr>
        <i/>
        <sz val="11"/>
        <color theme="1"/>
        <rFont val="Calibri"/>
        <family val="2"/>
      </rPr>
      <t>1 pie</t>
    </r>
    <r>
      <rPr>
        <sz val="11"/>
        <color theme="1"/>
        <rFont val="Calibri"/>
        <family val="2"/>
      </rPr>
      <t>³</t>
    </r>
    <r>
      <rPr>
        <i/>
        <sz val="11"/>
        <color theme="1"/>
        <rFont val="Calibri"/>
        <family val="2"/>
      </rPr>
      <t xml:space="preserve"> = 42.5 kg = 1 bolsa</t>
    </r>
  </si>
  <si>
    <r>
      <t>Equivalencia del agua</t>
    </r>
    <r>
      <rPr>
        <b/>
        <i/>
        <sz val="11"/>
        <color theme="1"/>
        <rFont val="Calibri"/>
        <family val="2"/>
      </rPr>
      <t xml:space="preserve">: </t>
    </r>
    <r>
      <rPr>
        <i/>
        <sz val="11"/>
        <color theme="1"/>
        <rFont val="Calibri"/>
        <family val="2"/>
      </rPr>
      <t>1 Litro de agua pesa 1 kg</t>
    </r>
  </si>
  <si>
    <t>Agua:</t>
  </si>
  <si>
    <t>a/c =</t>
  </si>
  <si>
    <t>kg/bolsa</t>
  </si>
  <si>
    <t>Peso específico de agua:</t>
  </si>
  <si>
    <r>
      <t>kg/m</t>
    </r>
    <r>
      <rPr>
        <sz val="11"/>
        <color theme="1"/>
        <rFont val="Calibri"/>
        <family val="2"/>
      </rPr>
      <t>³</t>
    </r>
  </si>
  <si>
    <t>Utilizamos el siguiente cuadro estandarizado de materiales:</t>
  </si>
  <si>
    <t>Tipo de mortero</t>
  </si>
  <si>
    <t>Cemento (kg)</t>
  </si>
  <si>
    <r>
      <t>Arena (m</t>
    </r>
    <r>
      <rPr>
        <sz val="12"/>
        <color theme="1"/>
        <rFont val="Calibri"/>
        <family val="2"/>
      </rPr>
      <t>³</t>
    </r>
    <r>
      <rPr>
        <sz val="11"/>
        <color theme="1"/>
        <rFont val="Calibri"/>
        <family val="2"/>
      </rPr>
      <t>)</t>
    </r>
  </si>
  <si>
    <t>Agua (L)</t>
  </si>
  <si>
    <t>1:3</t>
  </si>
  <si>
    <t>1:4</t>
  </si>
  <si>
    <t>1:6</t>
  </si>
  <si>
    <t xml:space="preserve">Para el tipo de mortero </t>
  </si>
  <si>
    <t>Arena  =</t>
  </si>
  <si>
    <r>
      <t>m</t>
    </r>
    <r>
      <rPr>
        <sz val="11"/>
        <color theme="1"/>
        <rFont val="Calibri"/>
        <family val="2"/>
      </rPr>
      <t>³</t>
    </r>
  </si>
  <si>
    <t>L</t>
  </si>
  <si>
    <r>
      <t>Factor de cantidades de materiales (cantidades por m</t>
    </r>
    <r>
      <rPr>
        <b/>
        <sz val="11"/>
        <color theme="1"/>
        <rFont val="Calibri"/>
        <family val="2"/>
      </rPr>
      <t>³</t>
    </r>
    <r>
      <rPr>
        <b/>
        <i/>
        <sz val="11"/>
        <color theme="1"/>
        <rFont val="Calibri"/>
        <family val="2"/>
      </rPr>
      <t xml:space="preserve"> de mortero)</t>
    </r>
    <r>
      <rPr>
        <b/>
        <i/>
        <sz val="11"/>
        <color theme="1"/>
        <rFont val="Calibri"/>
        <family val="2"/>
        <scheme val="minor"/>
      </rPr>
      <t>:</t>
    </r>
  </si>
  <si>
    <t>- Factor cemento</t>
  </si>
  <si>
    <t>- Arena gruesa</t>
  </si>
  <si>
    <t>- Agua</t>
  </si>
  <si>
    <t>m³</t>
  </si>
  <si>
    <t>Es más exacto</t>
  </si>
  <si>
    <r>
      <t>C.4. Cálculo de cantidad de materiales por m</t>
    </r>
    <r>
      <rPr>
        <b/>
        <u/>
        <sz val="12"/>
        <color theme="1"/>
        <rFont val="Calibri"/>
        <family val="2"/>
      </rPr>
      <t>² de muro</t>
    </r>
  </si>
  <si>
    <r>
      <rPr>
        <i/>
        <sz val="11"/>
        <color theme="1"/>
        <rFont val="Calibri"/>
        <family val="2"/>
      </rPr>
      <t>ladrillos/m</t>
    </r>
    <r>
      <rPr>
        <sz val="11"/>
        <color theme="1"/>
        <rFont val="Calibri"/>
        <family val="2"/>
      </rPr>
      <t>²</t>
    </r>
  </si>
  <si>
    <r>
      <t>m</t>
    </r>
    <r>
      <rPr>
        <i/>
        <sz val="11"/>
        <color theme="1"/>
        <rFont val="Calibri"/>
        <family val="2"/>
      </rPr>
      <t>³/m</t>
    </r>
    <r>
      <rPr>
        <sz val="11"/>
        <color theme="1"/>
        <rFont val="Calibri"/>
        <family val="2"/>
      </rPr>
      <t>²</t>
    </r>
  </si>
  <si>
    <t>bolsas/m²</t>
  </si>
  <si>
    <t>Arena gruesa</t>
  </si>
  <si>
    <r>
      <t>m</t>
    </r>
    <r>
      <rPr>
        <sz val="11"/>
        <color theme="1"/>
        <rFont val="Calibri"/>
        <family val="2"/>
      </rPr>
      <t>³/m²</t>
    </r>
  </si>
  <si>
    <t>Ladrillos</t>
  </si>
  <si>
    <t>ladrillos/m²</t>
  </si>
  <si>
    <r>
      <t>C.5. Cálculo de cantidades finales (incluido el desperdicio)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2"/>
        <color theme="1"/>
        <rFont val="Calibri"/>
        <family val="2"/>
      </rPr>
      <t xml:space="preserve"> de muro</t>
    </r>
    <r>
      <rPr>
        <b/>
        <i/>
        <u/>
        <sz val="12"/>
        <color theme="1"/>
        <rFont val="Calibri"/>
        <family val="2"/>
        <scheme val="minor"/>
      </rPr>
      <t>:</t>
    </r>
  </si>
  <si>
    <t>C.6. CANTIDAD DE MATERIALES FINALES (INCLUIDO DESPERDICIO) PARA EL TOTAL DE MUROS:</t>
  </si>
  <si>
    <t>D. CÁLCULO DE MANO DE OBRA</t>
  </si>
  <si>
    <r>
      <t>D.1. Cálculo de 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2"/>
        <color theme="1"/>
        <rFont val="Calibri"/>
        <family val="2"/>
      </rPr>
      <t xml:space="preserve"> de muro</t>
    </r>
    <r>
      <rPr>
        <b/>
        <i/>
        <u/>
        <sz val="12"/>
        <color theme="1"/>
        <rFont val="Calibri"/>
        <family val="2"/>
        <scheme val="minor"/>
      </rPr>
      <t>:</t>
    </r>
  </si>
  <si>
    <t xml:space="preserve">H-H por actividad </t>
  </si>
  <si>
    <t>Cantidad total de H-H</t>
  </si>
  <si>
    <r>
      <t>E. COSTO UNITARIO POR m</t>
    </r>
    <r>
      <rPr>
        <b/>
        <i/>
        <u/>
        <sz val="12"/>
        <color theme="1"/>
        <rFont val="Calibri"/>
        <family val="2"/>
      </rPr>
      <t>² DE MURO</t>
    </r>
  </si>
  <si>
    <t>LADRILLO</t>
  </si>
  <si>
    <t>und</t>
  </si>
  <si>
    <t>F. PRESUPUESTO PARA EL TOTAL DE MUROS</t>
  </si>
  <si>
    <t>Metrado total de muros =</t>
  </si>
  <si>
    <t>m²</t>
  </si>
  <si>
    <r>
      <t>Costo unitario por m</t>
    </r>
    <r>
      <rPr>
        <i/>
        <sz val="11"/>
        <color theme="1"/>
        <rFont val="Calibri"/>
        <family val="2"/>
      </rPr>
      <t>² =</t>
    </r>
  </si>
  <si>
    <t>Soles</t>
  </si>
  <si>
    <t>TIPO DE MURO</t>
  </si>
  <si>
    <r>
      <t>METRADO (m</t>
    </r>
    <r>
      <rPr>
        <sz val="11"/>
        <color theme="1"/>
        <rFont val="Calibri"/>
        <family val="2"/>
      </rPr>
      <t>²)</t>
    </r>
  </si>
  <si>
    <t>Muro de ladrillo</t>
  </si>
  <si>
    <t xml:space="preserve">amarre de </t>
  </si>
  <si>
    <t>con mortero</t>
  </si>
  <si>
    <t xml:space="preserve">                             PRESUPUESTO TOTAL PARA MUROS DE LADRILLOS</t>
  </si>
  <si>
    <t>G. RELACIÓN DE INSUMOS PARA EL TOTAL DE MUROS</t>
  </si>
  <si>
    <t xml:space="preserve"> TOTAL</t>
  </si>
  <si>
    <t>FALSO PISO Y CONTRAPISO</t>
  </si>
  <si>
    <t>Concreto para Falso Piso</t>
  </si>
  <si>
    <r>
      <t xml:space="preserve"> </t>
    </r>
    <r>
      <rPr>
        <b/>
        <i/>
        <sz val="11"/>
        <color theme="1"/>
        <rFont val="Calibri"/>
        <family val="2"/>
        <scheme val="minor"/>
      </rPr>
      <t>-Espesor del falso piso:</t>
    </r>
  </si>
  <si>
    <t>Proporciones usualmente utilizadas en morteros, según CAPECO</t>
  </si>
  <si>
    <r>
      <t>Materiales por m</t>
    </r>
    <r>
      <rPr>
        <sz val="12"/>
        <color theme="1"/>
        <rFont val="Calibri"/>
        <family val="2"/>
      </rPr>
      <t xml:space="preserve">³ </t>
    </r>
    <r>
      <rPr>
        <sz val="11"/>
        <color theme="1"/>
        <rFont val="Calibri"/>
        <family val="2"/>
      </rPr>
      <t>de mortero</t>
    </r>
  </si>
  <si>
    <t>Mortero para contrapiso</t>
  </si>
  <si>
    <r>
      <t xml:space="preserve"> </t>
    </r>
    <r>
      <rPr>
        <b/>
        <i/>
        <sz val="11"/>
        <color theme="1"/>
        <rFont val="Calibri"/>
        <family val="2"/>
        <scheme val="minor"/>
      </rPr>
      <t>-Proporción mortero Cemento/Arena: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</si>
  <si>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-Espesor del contrapiso: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</si>
  <si>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en falso piso:</t>
    </r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</si>
  <si>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mortero en contrapiso:</t>
    </r>
  </si>
  <si>
    <t>FALSO PISO</t>
  </si>
  <si>
    <t>CONTRAPISO</t>
  </si>
  <si>
    <t>Arena fina</t>
  </si>
  <si>
    <t xml:space="preserve">       (Elegir en lista despleg. si se incluye o no el IGV)</t>
  </si>
  <si>
    <t>A.5. DATOS DE FALSO PISOS Y CONTRAPISOS A PRESUESTAR (METRADOS)</t>
  </si>
  <si>
    <t xml:space="preserve"> -ÁREA TOTAL PARA FALSO PISO:</t>
  </si>
  <si>
    <t xml:space="preserve"> -ÁREA TOTAL PARA CONTRAPISO:</t>
  </si>
  <si>
    <t>B.1. Cálculo de concreto para falso piso</t>
  </si>
  <si>
    <r>
      <t xml:space="preserve"> -Cantidad de concreto para falso piso, por m</t>
    </r>
    <r>
      <rPr>
        <b/>
        <i/>
        <sz val="12"/>
        <color theme="1"/>
        <rFont val="Calibri"/>
        <family val="2"/>
      </rPr>
      <t>²</t>
    </r>
    <r>
      <rPr>
        <b/>
        <i/>
        <sz val="11"/>
        <color theme="1"/>
        <rFont val="Calibri"/>
        <family val="2"/>
      </rPr>
      <t>:</t>
    </r>
  </si>
  <si>
    <t>Espesor del falso piso =</t>
  </si>
  <si>
    <t>Volum. concreto por m² falso piso =</t>
  </si>
  <si>
    <r>
      <t xml:space="preserve"> -Cantidad final (incluido desperdicios) de concreto para todo el falso piso</t>
    </r>
    <r>
      <rPr>
        <b/>
        <i/>
        <sz val="11"/>
        <color theme="1"/>
        <rFont val="Calibri"/>
        <family val="2"/>
      </rPr>
      <t>:</t>
    </r>
  </si>
  <si>
    <t>TOTAL CONCRETO PARA FALSO PISO</t>
  </si>
  <si>
    <t>B.2. Cálculo de mortero para contrapiso</t>
  </si>
  <si>
    <r>
      <t xml:space="preserve"> -Cantidad de mortero para contrapiso, por m</t>
    </r>
    <r>
      <rPr>
        <b/>
        <i/>
        <sz val="12"/>
        <color theme="1"/>
        <rFont val="Calibri"/>
        <family val="2"/>
      </rPr>
      <t>²</t>
    </r>
    <r>
      <rPr>
        <b/>
        <i/>
        <sz val="11"/>
        <color theme="1"/>
        <rFont val="Calibri"/>
        <family val="2"/>
      </rPr>
      <t>:</t>
    </r>
  </si>
  <si>
    <t>Espesor del contrapiso =</t>
  </si>
  <si>
    <t>Volum. mortero por m² contrapiso =</t>
  </si>
  <si>
    <r>
      <t xml:space="preserve"> -Cantidad final (incluido desperdicios) de mortero para todo el contrapiso</t>
    </r>
    <r>
      <rPr>
        <b/>
        <i/>
        <sz val="11"/>
        <color theme="1"/>
        <rFont val="Calibri"/>
        <family val="2"/>
      </rPr>
      <t>:</t>
    </r>
  </si>
  <si>
    <t>TOTAL MORTERO PARA CONTRAPISO</t>
  </si>
  <si>
    <r>
      <t xml:space="preserve">B.3. Cálculo de materiales </t>
    </r>
    <r>
      <rPr>
        <b/>
        <i/>
        <u/>
        <sz val="12"/>
        <color theme="1"/>
        <rFont val="Calibri"/>
        <family val="2"/>
      </rPr>
      <t>del concreto para falso piso</t>
    </r>
  </si>
  <si>
    <r>
      <t>Materiales por m</t>
    </r>
    <r>
      <rPr>
        <b/>
        <i/>
        <sz val="12"/>
        <color theme="1"/>
        <rFont val="Calibri"/>
        <family val="2"/>
      </rPr>
      <t>³</t>
    </r>
    <r>
      <rPr>
        <b/>
        <i/>
        <sz val="11"/>
        <color theme="1"/>
        <rFont val="Calibri"/>
        <family val="2"/>
      </rPr>
      <t xml:space="preserve"> de concreto</t>
    </r>
  </si>
  <si>
    <t xml:space="preserve">Proporciones del concreto </t>
  </si>
  <si>
    <r>
      <t>Concreto por m</t>
    </r>
    <r>
      <rPr>
        <i/>
        <sz val="12"/>
        <color theme="1"/>
        <rFont val="Calibri"/>
        <family val="2"/>
        <scheme val="minor"/>
      </rPr>
      <t xml:space="preserve">² </t>
    </r>
    <r>
      <rPr>
        <i/>
        <sz val="11"/>
        <color theme="1"/>
        <rFont val="Calibri"/>
        <family val="2"/>
        <scheme val="minor"/>
      </rPr>
      <t>de falso piso</t>
    </r>
  </si>
  <si>
    <r>
      <t xml:space="preserve"> -Cantidad de materiales por m</t>
    </r>
    <r>
      <rPr>
        <b/>
        <i/>
        <sz val="12"/>
        <color theme="1"/>
        <rFont val="Calibri"/>
        <family val="2"/>
      </rPr>
      <t xml:space="preserve">² de falso piso: </t>
    </r>
  </si>
  <si>
    <r>
      <t xml:space="preserve"> -Cantidad de materiales (incluido desperdicio) por m</t>
    </r>
    <r>
      <rPr>
        <b/>
        <i/>
        <sz val="12"/>
        <color theme="1"/>
        <rFont val="Calibri"/>
        <family val="2"/>
      </rPr>
      <t xml:space="preserve">² de falso piso: </t>
    </r>
  </si>
  <si>
    <t>CANTIDAD TOTAL DE MATERIALES (INCLUIDO DESPERDICIO) PARA TODO EL FALSO PISO:</t>
  </si>
  <si>
    <r>
      <t xml:space="preserve">B.4. Cálculo de materiales </t>
    </r>
    <r>
      <rPr>
        <b/>
        <i/>
        <u/>
        <sz val="12"/>
        <color theme="1"/>
        <rFont val="Calibri"/>
        <family val="2"/>
      </rPr>
      <t>del mortero para contrapiso</t>
    </r>
  </si>
  <si>
    <r>
      <t>Materiales por m</t>
    </r>
    <r>
      <rPr>
        <b/>
        <i/>
        <sz val="12"/>
        <color theme="1"/>
        <rFont val="Calibri"/>
        <family val="2"/>
      </rPr>
      <t>³</t>
    </r>
    <r>
      <rPr>
        <b/>
        <i/>
        <sz val="11"/>
        <color theme="1"/>
        <rFont val="Calibri"/>
        <family val="2"/>
      </rPr>
      <t xml:space="preserve"> de mortero</t>
    </r>
  </si>
  <si>
    <t>Proporciones del mortero</t>
  </si>
  <si>
    <t>Arena fina =</t>
  </si>
  <si>
    <r>
      <t>Mortero por m</t>
    </r>
    <r>
      <rPr>
        <i/>
        <sz val="12"/>
        <color theme="1"/>
        <rFont val="Calibri"/>
        <family val="2"/>
        <scheme val="minor"/>
      </rPr>
      <t xml:space="preserve">² </t>
    </r>
    <r>
      <rPr>
        <i/>
        <sz val="11"/>
        <color theme="1"/>
        <rFont val="Calibri"/>
        <family val="2"/>
        <scheme val="minor"/>
      </rPr>
      <t>de contrapiso</t>
    </r>
  </si>
  <si>
    <r>
      <t xml:space="preserve"> -Cantidad de materiales por m</t>
    </r>
    <r>
      <rPr>
        <b/>
        <i/>
        <sz val="12"/>
        <color theme="1"/>
        <rFont val="Calibri"/>
        <family val="2"/>
      </rPr>
      <t xml:space="preserve">² de contrapiso: </t>
    </r>
  </si>
  <si>
    <r>
      <t xml:space="preserve"> -Cantidad de materiales (incluido desperdicio) por m</t>
    </r>
    <r>
      <rPr>
        <b/>
        <i/>
        <sz val="12"/>
        <color theme="1"/>
        <rFont val="Calibri"/>
        <family val="2"/>
      </rPr>
      <t xml:space="preserve">² de contrapiso: </t>
    </r>
  </si>
  <si>
    <t>CANTIDAD TOTAL DE MATERIALES (INCLUIDO DESPERDICIO) PARA TODO EL CONTRAPISO:</t>
  </si>
  <si>
    <r>
      <t xml:space="preserve"> -Cantidad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falso piso:</t>
    </r>
  </si>
  <si>
    <r>
      <t xml:space="preserve"> -Cantidad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contrapiso:</t>
    </r>
  </si>
  <si>
    <r>
      <t xml:space="preserve"> -Cantidad de H-M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falso piso:</t>
    </r>
  </si>
  <si>
    <r>
      <t xml:space="preserve"> -Cantidad de H-M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contrapiso:</t>
    </r>
  </si>
  <si>
    <t>CONCRETO PARA FALSO PISO,             E =</t>
  </si>
  <si>
    <t>CONTRAPISO,                E =</t>
  </si>
  <si>
    <t xml:space="preserve">MEZCLA    C:A </t>
  </si>
  <si>
    <t>ARENA FINA</t>
  </si>
  <si>
    <t>F. PRESUPUESTO DE TODO EL FALSO PISO Y CONTRAPISO</t>
  </si>
  <si>
    <t>Falso Piso</t>
  </si>
  <si>
    <t>Mezcla c:h =</t>
  </si>
  <si>
    <t>Contrapiso</t>
  </si>
  <si>
    <t>Mezcla c:a =</t>
  </si>
  <si>
    <t>PRESUPUESTO TOTAL PARA FALSO PISO Y CONTRAPISO</t>
  </si>
  <si>
    <t>G. RELACIÓN DE INSUMOS PARA LA TOTALIDAD DE FALSO PISO Y CONTRAPISO</t>
  </si>
  <si>
    <t>G.1. RELACIÓN DE INSUMOS TOTALES PARA FALSO PISO</t>
  </si>
  <si>
    <t>G.2. RELACIÓN DE INSUMOS TOTALES PARA CONTRAPISO</t>
  </si>
  <si>
    <t>VIGAS</t>
  </si>
  <si>
    <t>Concreto para Vigas</t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</si>
  <si>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para vigas:</t>
    </r>
  </si>
  <si>
    <t>Acero de refuerzo utilizado en Vigas</t>
  </si>
  <si>
    <t>Concreto en Vigas</t>
  </si>
  <si>
    <t xml:space="preserve">   A.5. DATOS DE LAS VIGAS A PRESUPUESTAR (METRADOS)</t>
  </si>
  <si>
    <t xml:space="preserve"> -ÁREA DE ENCOFRADOS PARA VIGAS</t>
  </si>
  <si>
    <r>
      <t>Cantidad de concreto para todas las Vigas</t>
    </r>
    <r>
      <rPr>
        <b/>
        <i/>
        <u/>
        <sz val="11"/>
        <color theme="1"/>
        <rFont val="Calibri"/>
        <family val="2"/>
      </rPr>
      <t>:</t>
    </r>
  </si>
  <si>
    <t>Cantidad final de concreto (incluido el desperdicio) para todas las Vigas:</t>
  </si>
  <si>
    <t>Materiales finales (incluido el desperdicio) para el concreto de todas las Vigas:</t>
  </si>
  <si>
    <r>
      <t>Materiales por m</t>
    </r>
    <r>
      <rPr>
        <b/>
        <sz val="12"/>
        <color theme="1"/>
        <rFont val="Calibri"/>
        <family val="2"/>
      </rPr>
      <t>²</t>
    </r>
    <r>
      <rPr>
        <b/>
        <i/>
        <sz val="12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</rPr>
      <t>de encofrado de Vigas:</t>
    </r>
  </si>
  <si>
    <r>
      <t>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vigas:</t>
    </r>
  </si>
  <si>
    <t>CONCRETO PARA VIGAS</t>
  </si>
  <si>
    <r>
      <t>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encofrado normal de vigas:</t>
    </r>
  </si>
  <si>
    <t>ENCOFRADO Y DESENCOFRADO NORMAL PARA VIGAS</t>
  </si>
  <si>
    <r>
      <t>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vigas:</t>
    </r>
  </si>
  <si>
    <r>
      <t>CONCRETO PARA VIGAS f</t>
    </r>
    <r>
      <rPr>
        <sz val="11"/>
        <color theme="1"/>
        <rFont val="Calibri"/>
        <family val="2"/>
      </rPr>
      <t>'c =</t>
    </r>
  </si>
  <si>
    <t>F. PRESUPUESTO PARA TODAS LAS VIGAS</t>
  </si>
  <si>
    <t xml:space="preserve">                             PRESUPUESTO TOTAL PARA VIGAS</t>
  </si>
  <si>
    <t>G. RELACIÓN DE INSUMOS PARA LA TOTALIDAD DE LAS VIGAS</t>
  </si>
  <si>
    <t>COLUMNAS</t>
  </si>
  <si>
    <t>Concreto para Columnas</t>
  </si>
  <si>
    <r>
      <t xml:space="preserve"> </t>
    </r>
    <r>
      <rPr>
        <b/>
        <i/>
        <sz val="11"/>
        <color theme="1"/>
        <rFont val="Calibri"/>
        <family val="2"/>
        <scheme val="minor"/>
      </rPr>
      <t>-Desperdicio de concreto para columnas:</t>
    </r>
  </si>
  <si>
    <t>Acero de refuerzo utilizado en Columnas</t>
  </si>
  <si>
    <t xml:space="preserve"> Material para encofrado de Columnas: </t>
  </si>
  <si>
    <t>Concreto en Columnas</t>
  </si>
  <si>
    <t>(Actualizar costos de acuerdo al lugar)</t>
  </si>
  <si>
    <t xml:space="preserve">  A.5. DATOS DE LAS COLUMNAS A PRESUPUESTAR (METRADOS)</t>
  </si>
  <si>
    <t xml:space="preserve"> -VOLUMEN DE CONCRETO EN COLUMNAS,</t>
  </si>
  <si>
    <t xml:space="preserve"> -ÁREA DE ENCOFRADOS PARA COLUMNAS</t>
  </si>
  <si>
    <r>
      <t>Cantidad de concreto para todas las Columnas</t>
    </r>
    <r>
      <rPr>
        <b/>
        <i/>
        <u/>
        <sz val="11"/>
        <color theme="1"/>
        <rFont val="Calibri"/>
        <family val="2"/>
      </rPr>
      <t>:</t>
    </r>
  </si>
  <si>
    <t>Cantidad final de concreto (incluido el desperdicio) para todas las Columnas:</t>
  </si>
  <si>
    <r>
      <t>Cantidad de materiales para todas las Columnas</t>
    </r>
    <r>
      <rPr>
        <b/>
        <i/>
        <u/>
        <sz val="11"/>
        <color theme="1"/>
        <rFont val="Calibri"/>
        <family val="2"/>
      </rPr>
      <t>:</t>
    </r>
  </si>
  <si>
    <t>Materiales finales (incluido el desperdicio) para el concreto de todas las Columnas:</t>
  </si>
  <si>
    <r>
      <t>Materiales por m</t>
    </r>
    <r>
      <rPr>
        <b/>
        <sz val="12"/>
        <color theme="1"/>
        <rFont val="Calibri"/>
        <family val="2"/>
      </rPr>
      <t>²</t>
    </r>
    <r>
      <rPr>
        <b/>
        <i/>
        <sz val="12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</rPr>
      <t>de encofrado de Columnas:</t>
    </r>
  </si>
  <si>
    <t>B.3.1. Cantidades del ACERO LONGITUDINAL en todas las Columnas:</t>
  </si>
  <si>
    <t>B.3.2. Cantidades del ACERO TRANSVERSAL (estribos) en todas las Columnas:</t>
  </si>
  <si>
    <t>B.3.3. Cantidad total del ACERO LONGITUDINAL y TRANSVERSAL en todas las Columnas:</t>
  </si>
  <si>
    <t>Cantidades finales (incluido el desperdicio) del acero en todas las Columnas:</t>
  </si>
  <si>
    <r>
      <t>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columnas:</t>
    </r>
  </si>
  <si>
    <t>CONCRETO PARA COLUMNAS</t>
  </si>
  <si>
    <r>
      <t>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encofrado normal de columnas:</t>
    </r>
  </si>
  <si>
    <t>ENCOFRADO Y DESENCOFRADO NORMAL PARA COLUMNAS</t>
  </si>
  <si>
    <r>
      <t>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 para columnas:</t>
    </r>
  </si>
  <si>
    <r>
      <t>CONCRETO PARA COLUMNAS f</t>
    </r>
    <r>
      <rPr>
        <sz val="11"/>
        <color theme="1"/>
        <rFont val="Calibri"/>
        <family val="2"/>
      </rPr>
      <t>'c =</t>
    </r>
  </si>
  <si>
    <t>ENCOFRADO Y DESENCOFRADO NORMAL DE COLUMNAS</t>
  </si>
  <si>
    <t>F. PRESUPUESTO DE TODAS LAS COLUMNAS</t>
  </si>
  <si>
    <t xml:space="preserve">                             PRESUPUESTO TOTAL PARA COLUMNAS</t>
  </si>
  <si>
    <t>G. RELACIÓN DE INSUMOS PARA LA TOTALIDAD DE LAS COLUMNAS</t>
  </si>
  <si>
    <t>A. LOSAS ALIGERADAS EN UNA DIRECCIÓN</t>
  </si>
  <si>
    <t>A.1. DATOS DE ENTRADA</t>
  </si>
  <si>
    <t>A.1.1. DATOS DE LOS MATERIALES Y LOSA</t>
  </si>
  <si>
    <t xml:space="preserve"> Altura total de la losa: </t>
  </si>
  <si>
    <t xml:space="preserve"> -Altura de losa aligerada: </t>
  </si>
  <si>
    <t>(Elegir altura de losa alig.)</t>
  </si>
  <si>
    <t xml:space="preserve"> Materiales de relleno: </t>
  </si>
  <si>
    <t>ladrillo hueco</t>
  </si>
  <si>
    <t>ladrillo casetón</t>
  </si>
  <si>
    <t>(Elegir tipo de ladrillo)</t>
  </si>
  <si>
    <t xml:space="preserve"> -Material de aligerado a utilizar: </t>
  </si>
  <si>
    <t xml:space="preserve"> -Dimensiones de ladrillo hueco: </t>
  </si>
  <si>
    <t>LADRILLO HUECO</t>
  </si>
  <si>
    <t>ALTURA DE LOSA (cm)</t>
  </si>
  <si>
    <t>En el caso de utilizar ladrillo hueco</t>
  </si>
  <si>
    <t xml:space="preserve"> -Dimensiones de ladrillo casetón: </t>
  </si>
  <si>
    <t>LADRILLO CASETÓN (TECNOPOR)</t>
  </si>
  <si>
    <t>En el caso de utilizar ladrillo casetón</t>
  </si>
  <si>
    <t>Concreto para losas aligeradas</t>
  </si>
  <si>
    <t>(Elegir resistencia de concr.)</t>
  </si>
  <si>
    <r>
      <t>(Resistencia recomendada del concreto para losas aligeradas: 210 kg/cm</t>
    </r>
    <r>
      <rPr>
        <sz val="10"/>
        <color theme="3" tint="-0.499984740745262"/>
        <rFont val="Calibri"/>
        <family val="2"/>
      </rPr>
      <t>²)</t>
    </r>
  </si>
  <si>
    <t xml:space="preserve"> Cemento Portland Tipo I (42.5 kg): </t>
  </si>
  <si>
    <t xml:space="preserve"> Materiales para máquina mezcladora: </t>
  </si>
  <si>
    <r>
      <t>galones/m</t>
    </r>
    <r>
      <rPr>
        <sz val="11"/>
        <color theme="1"/>
        <rFont val="Calibri"/>
        <family val="2"/>
      </rPr>
      <t>³</t>
    </r>
  </si>
  <si>
    <t>kg/m³</t>
  </si>
  <si>
    <t xml:space="preserve"> Material para la armadura de refuerzo: </t>
  </si>
  <si>
    <t>4.77 mm</t>
  </si>
  <si>
    <t>Acero de refuerzo utilizado en viguetas</t>
  </si>
  <si>
    <t xml:space="preserve"> -Armadura utilizada:</t>
  </si>
  <si>
    <t>Se utilizó varilla de Ø 3/8" :</t>
  </si>
  <si>
    <t>(Elegir en las listas desplegables si se utilizó o no cada tipo de varilla)</t>
  </si>
  <si>
    <t>Se utilizó varilla de Ø 1/2" :</t>
  </si>
  <si>
    <t>Se utilizó varilla de Ø 5/8" :</t>
  </si>
  <si>
    <t xml:space="preserve"> -Acero de temperatura:</t>
  </si>
  <si>
    <t>Varilla de:</t>
  </si>
  <si>
    <t>(Elegir Ø del A° T° utilizado)</t>
  </si>
  <si>
    <t xml:space="preserve"> Material para el encofrado de losas aligeradas: </t>
  </si>
  <si>
    <t xml:space="preserve"> -Alambre negro N°16:</t>
  </si>
  <si>
    <t>A.1.2. DATOS DE LA MANO DE OBRA</t>
  </si>
  <si>
    <t>Op. Equipo mediano</t>
  </si>
  <si>
    <t>Concret. losas aligerad.</t>
  </si>
  <si>
    <t>Ladrillo Hueco</t>
  </si>
  <si>
    <t>pza/dia</t>
  </si>
  <si>
    <t>Ladrillo casetón</t>
  </si>
  <si>
    <t>A.1.3. DATOS DEL EQUIPO Y HERRAMIENTAS</t>
  </si>
  <si>
    <t>A.1.4. DATOS DE LOS COSTOS</t>
  </si>
  <si>
    <t>Acero tempertura</t>
  </si>
  <si>
    <t>varilla</t>
  </si>
  <si>
    <t>A.1.5. DATOS DE LA LOSA A PRESUPUESTAR (METRADOS)</t>
  </si>
  <si>
    <t xml:space="preserve"> -ÁREA TOTAL DE LA LOSA</t>
  </si>
  <si>
    <t xml:space="preserve"> -ÁREA DE ENCOFRADOS</t>
  </si>
  <si>
    <t xml:space="preserve"> -ACERO TEMP.</t>
  </si>
  <si>
    <t>A.2. CÁLCULO DE MATERIALES</t>
  </si>
  <si>
    <t>A.2.1. CÁLCULO DE LADRILLO</t>
  </si>
  <si>
    <r>
      <t>Cantidad de ladrillos por m</t>
    </r>
    <r>
      <rPr>
        <b/>
        <i/>
        <u/>
        <sz val="11"/>
        <color theme="1"/>
        <rFont val="Calibri"/>
        <family val="2"/>
      </rPr>
      <t>²:</t>
    </r>
  </si>
  <si>
    <r>
      <t>CL = Cantidad de ladrillos por m</t>
    </r>
    <r>
      <rPr>
        <i/>
        <sz val="11"/>
        <color theme="1"/>
        <rFont val="Calibri"/>
        <family val="2"/>
      </rPr>
      <t>²</t>
    </r>
  </si>
  <si>
    <t>Al = Ancho del ladrillo (m)</t>
  </si>
  <si>
    <t>Av = Ancho de la vigueta (m)</t>
  </si>
  <si>
    <t>Ll = Largo del ladrillo (m)</t>
  </si>
  <si>
    <t>Tipo de ladrillo utilizado</t>
  </si>
  <si>
    <t>Al =</t>
  </si>
  <si>
    <t>Av =</t>
  </si>
  <si>
    <t>Ll =</t>
  </si>
  <si>
    <t>Cl =</t>
  </si>
  <si>
    <r>
      <t>Cantidad de ladrillos para toda la losa</t>
    </r>
    <r>
      <rPr>
        <b/>
        <i/>
        <u/>
        <sz val="11"/>
        <color theme="1"/>
        <rFont val="Calibri"/>
        <family val="2"/>
      </rPr>
      <t>:</t>
    </r>
  </si>
  <si>
    <t>Ladrillos por m² de losa =</t>
  </si>
  <si>
    <t xml:space="preserve">Total de </t>
  </si>
  <si>
    <t>unidades</t>
  </si>
  <si>
    <t>Cantidad final (incluido el desperdicio) de ladrillo en toda la losa:</t>
  </si>
  <si>
    <t>Desperdicio de ladrillo de techo =</t>
  </si>
  <si>
    <t>A.2.2. CÁLCULO DEL CONCRETO (cemento, arena, piedra, agua)</t>
  </si>
  <si>
    <r>
      <t>Cantidad de concreto por m</t>
    </r>
    <r>
      <rPr>
        <b/>
        <i/>
        <u/>
        <sz val="11"/>
        <color theme="1"/>
        <rFont val="Calibri"/>
        <family val="2"/>
      </rPr>
      <t>²:</t>
    </r>
  </si>
  <si>
    <t>Altura de losa</t>
  </si>
  <si>
    <t>Vol. Concr.=</t>
  </si>
  <si>
    <r>
      <t>m</t>
    </r>
    <r>
      <rPr>
        <b/>
        <sz val="12"/>
        <color theme="1"/>
        <rFont val="Calibri"/>
        <family val="2"/>
      </rPr>
      <t>³</t>
    </r>
    <r>
      <rPr>
        <b/>
        <sz val="11"/>
        <color theme="1"/>
        <rFont val="Calibri"/>
        <family val="2"/>
      </rPr>
      <t>/m</t>
    </r>
    <r>
      <rPr>
        <b/>
        <sz val="12"/>
        <color theme="1"/>
        <rFont val="Calibri"/>
        <family val="2"/>
      </rPr>
      <t>²</t>
    </r>
  </si>
  <si>
    <r>
      <t>Cantidad de concreto para toda la losa</t>
    </r>
    <r>
      <rPr>
        <b/>
        <i/>
        <u/>
        <sz val="11"/>
        <color theme="1"/>
        <rFont val="Calibri"/>
        <family val="2"/>
      </rPr>
      <t>:</t>
    </r>
  </si>
  <si>
    <t>Concreto por m² de losa =</t>
  </si>
  <si>
    <r>
      <t>m</t>
    </r>
    <r>
      <rPr>
        <sz val="11"/>
        <color theme="1"/>
        <rFont val="Calibri"/>
        <family val="2"/>
      </rPr>
      <t>³</t>
    </r>
    <r>
      <rPr>
        <i/>
        <sz val="11"/>
        <color theme="1"/>
        <rFont val="Calibri"/>
        <family val="2"/>
      </rPr>
      <t>/m</t>
    </r>
    <r>
      <rPr>
        <sz val="11"/>
        <color theme="1"/>
        <rFont val="Calibri"/>
        <family val="2"/>
      </rPr>
      <t>²</t>
    </r>
  </si>
  <si>
    <t>Cantidad final de concreto (incluido el desperdicio) para toda la losa:</t>
  </si>
  <si>
    <r>
      <t>Cantidad de materiales para toda la losa</t>
    </r>
    <r>
      <rPr>
        <b/>
        <i/>
        <u/>
        <sz val="11"/>
        <color theme="1"/>
        <rFont val="Calibri"/>
        <family val="2"/>
      </rPr>
      <t>:</t>
    </r>
  </si>
  <si>
    <r>
      <t>Materiales por m</t>
    </r>
    <r>
      <rPr>
        <b/>
        <i/>
        <sz val="12"/>
        <color theme="1"/>
        <rFont val="Calibri"/>
        <family val="2"/>
      </rPr>
      <t xml:space="preserve">³ </t>
    </r>
    <r>
      <rPr>
        <b/>
        <i/>
        <sz val="11"/>
        <color theme="1"/>
        <rFont val="Calibri"/>
        <family val="2"/>
      </rPr>
      <t>de concreto:</t>
    </r>
  </si>
  <si>
    <t>Materiales finales (incluido el desperdicio) para el concreto en toda la losa:</t>
  </si>
  <si>
    <t>A.2.3. CÁLCULO DEL MATERIAL PARA ENCOFRADO</t>
  </si>
  <si>
    <r>
      <t>Materiales por m</t>
    </r>
    <r>
      <rPr>
        <b/>
        <sz val="11"/>
        <color theme="1"/>
        <rFont val="Calibri"/>
        <family val="2"/>
      </rPr>
      <t>²</t>
    </r>
    <r>
      <rPr>
        <b/>
        <i/>
        <sz val="12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</rPr>
      <t>de encofrado:</t>
    </r>
  </si>
  <si>
    <t>kg/m²</t>
  </si>
  <si>
    <t xml:space="preserve"> Alambre negro N°16:</t>
  </si>
  <si>
    <t>A.2.4. CÁLCULO DE LA CANTIDAD DE VARILLAS DE ACERO</t>
  </si>
  <si>
    <t>Peso del acero por m de varilla:</t>
  </si>
  <si>
    <t>Acero Temp.</t>
  </si>
  <si>
    <t>kg/m</t>
  </si>
  <si>
    <t>Cantidades del acero y alambre en toda la losa:</t>
  </si>
  <si>
    <t>varillas</t>
  </si>
  <si>
    <t>Cantidades finales (incluido el desperdicio) del acero en toda la losa:</t>
  </si>
  <si>
    <t>A.3. CÁLCULO DE MANO DE OBRA</t>
  </si>
  <si>
    <r>
      <t>Cantidad de H-H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concreto:</t>
    </r>
  </si>
  <si>
    <t>CONCRETO PARA LOSAS ALIGERADAS</t>
  </si>
  <si>
    <t>Op. Equi. Med.</t>
  </si>
  <si>
    <r>
      <t>Cantidad de H-H por m</t>
    </r>
    <r>
      <rPr>
        <b/>
        <u/>
        <sz val="12"/>
        <color theme="1"/>
        <rFont val="Calibri"/>
        <family val="2"/>
      </rPr>
      <t>²</t>
    </r>
    <r>
      <rPr>
        <b/>
        <i/>
        <u/>
        <sz val="11"/>
        <color theme="1"/>
        <rFont val="Calibri"/>
        <family val="2"/>
      </rPr>
      <t xml:space="preserve"> de encofrado:</t>
    </r>
  </si>
  <si>
    <t>ENCOFRADO Y DESENCOFRADO NORMAL PARA LOSAS ALIGERADAS</t>
  </si>
  <si>
    <r>
      <t>Cantidad de H-H por kg de acero</t>
    </r>
    <r>
      <rPr>
        <b/>
        <i/>
        <u/>
        <sz val="11"/>
        <color theme="1"/>
        <rFont val="Calibri"/>
        <family val="2"/>
      </rPr>
      <t>:</t>
    </r>
  </si>
  <si>
    <r>
      <t>ACERO DE REFUERZO              fy = 4200 kg/cm</t>
    </r>
    <r>
      <rPr>
        <sz val="12"/>
        <color theme="1"/>
        <rFont val="Calibri"/>
        <family val="2"/>
      </rPr>
      <t>²</t>
    </r>
  </si>
  <si>
    <r>
      <t>Cantidad de H-H por pza de ladrillo</t>
    </r>
    <r>
      <rPr>
        <b/>
        <i/>
        <u/>
        <sz val="11"/>
        <color theme="1"/>
        <rFont val="Calibri"/>
        <family val="2"/>
      </rPr>
      <t>:</t>
    </r>
  </si>
  <si>
    <t>PARA LOSA</t>
  </si>
  <si>
    <t>ALIGERADA</t>
  </si>
  <si>
    <t>A.4. CÁLCULO DEL EQUIPO Y MAQUINARIA</t>
  </si>
  <si>
    <r>
      <t>Cantidad de H-M por m</t>
    </r>
    <r>
      <rPr>
        <b/>
        <u/>
        <sz val="12"/>
        <color theme="1"/>
        <rFont val="Calibri"/>
        <family val="2"/>
      </rPr>
      <t>³</t>
    </r>
    <r>
      <rPr>
        <b/>
        <i/>
        <u/>
        <sz val="11"/>
        <color theme="1"/>
        <rFont val="Calibri"/>
        <family val="2"/>
      </rPr>
      <t xml:space="preserve"> de concreto:</t>
    </r>
  </si>
  <si>
    <t>A.5. ANÁLISIS DE COSTOS UNITARIOS</t>
  </si>
  <si>
    <r>
      <t>CONCRETO PARA LOSAS ALIGERADAS f</t>
    </r>
    <r>
      <rPr>
        <sz val="11"/>
        <color theme="1"/>
        <rFont val="Calibri"/>
        <family val="2"/>
      </rPr>
      <t>'c =</t>
    </r>
  </si>
  <si>
    <t>OPERAD. EQ. MEDIANO</t>
  </si>
  <si>
    <t>ACERO DE REFUERZO fy = 4200 kg/cm²</t>
  </si>
  <si>
    <t xml:space="preserve"> DE ALTURA H =</t>
  </si>
  <si>
    <t>PARA LOSA ALIGERADA</t>
  </si>
  <si>
    <t>pza</t>
  </si>
  <si>
    <t>A.6. PRESUPUESTO DE TODA LA LOSA ALIGERADA</t>
  </si>
  <si>
    <t>CONCRETO PARA LOSAS ALIG.</t>
  </si>
  <si>
    <t>ACERO DE REFUERZO                   fy = 4200 kg/cm²</t>
  </si>
  <si>
    <t>ALTURA H=</t>
  </si>
  <si>
    <t>PRESUPUESTO TOTAL PARA LOSA ALIGERADA DE</t>
  </si>
  <si>
    <t>A.7. RELACIÓN DE INSUMOS PARA LA TOTALIDAD DE LA LOSA ALIGERADA</t>
  </si>
  <si>
    <t>Operario de equipo mediano</t>
  </si>
  <si>
    <t>LOSAS ALIGERADAS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</si>
</sst>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"/>
    <numFmt numFmtId="165" formatCode="0.000"/>
    <numFmt numFmtId="166" formatCode="0.0000"/>
    <numFmt numFmtId="167" formatCode="0.00000"/>
    <numFmt numFmtId="168" formatCode="#,###.0&quot; cm&quot;"/>
    <numFmt numFmtId="169" formatCode="#,###&quot; C:H&quot;"/>
    <numFmt numFmtId="170" formatCode="&quot;S/&quot;#,##0.00"/>
    <numFmt numFmtId="171" formatCode="_-[$S/-280A]* #,##0.00_-;\-[$S/-280A]* #,##0.00_-;_-[$S/-280A]* &quot;-&quot;??_-;_-@_-"/>
    <numFmt numFmtId="172" formatCode="#,###&quot; kg/cm²&quot;"/>
    <numFmt numFmtId="173" formatCode="#,###&quot; cm&quot;"/>
    <numFmt numFmtId="174" formatCode="0.000000"/>
    <numFmt numFmtId="175" formatCode="#,###&quot; m²&quot;"/>
  </numFmts>
  <fonts count="6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theme="1"/>
      <name val="Calibri"/>
      <family val="2"/>
    </font>
    <font>
      <b/>
      <i/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i/>
      <u/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i/>
      <sz val="12"/>
      <color theme="1"/>
      <name val="Calibri"/>
      <family val="2"/>
    </font>
    <font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</font>
    <font>
      <b/>
      <i/>
      <u/>
      <sz val="11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Calibri"/>
      <family val="2"/>
    </font>
    <font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.5"/>
      <color rgb="FF0070C0"/>
      <name val="Calibri"/>
      <family val="2"/>
      <scheme val="minor"/>
    </font>
    <font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1"/>
      <color theme="1"/>
      <name val="Calibri"/>
      <family val="2"/>
    </font>
    <font>
      <i/>
      <sz val="10"/>
      <color theme="3" tint="-0.499984740745262"/>
      <name val="Calibri"/>
      <family val="2"/>
      <scheme val="minor"/>
    </font>
    <font>
      <i/>
      <sz val="10"/>
      <color theme="3" tint="-0.499984740745262"/>
      <name val="Calibri"/>
      <family val="2"/>
    </font>
    <font>
      <sz val="10"/>
      <color theme="3" tint="-0.499984740745262"/>
      <name val="Calibri"/>
      <family val="2"/>
      <scheme val="minor"/>
    </font>
    <font>
      <i/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i/>
      <sz val="11"/>
      <color rgb="FFFF0000"/>
      <name val="Calibri"/>
      <family val="2"/>
      <scheme val="minor"/>
    </font>
    <font>
      <i/>
      <sz val="10"/>
      <color theme="1"/>
      <name val="Calibri"/>
      <family val="2"/>
    </font>
    <font>
      <b/>
      <u/>
      <sz val="11"/>
      <color theme="1"/>
      <name val="Calibri"/>
      <family val="2"/>
    </font>
    <font>
      <sz val="10"/>
      <color theme="1"/>
      <name val="Calibri"/>
      <family val="2"/>
    </font>
    <font>
      <i/>
      <sz val="14"/>
      <color theme="1"/>
      <name val="Calibri"/>
      <family val="2"/>
    </font>
    <font>
      <i/>
      <u/>
      <sz val="11"/>
      <color theme="1"/>
      <name val="Calibri"/>
      <family val="2"/>
      <scheme val="minor"/>
    </font>
    <font>
      <i/>
      <sz val="11"/>
      <color theme="2" tint="-0.89999084444715716"/>
      <name val="Calibri"/>
      <family val="2"/>
      <scheme val="minor"/>
    </font>
    <font>
      <b/>
      <i/>
      <u/>
      <sz val="11"/>
      <color rgb="FF0070C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sz val="10"/>
      <color theme="3" tint="-0.499984740745262"/>
      <name val="Calibri"/>
      <family val="2"/>
    </font>
    <font>
      <b/>
      <sz val="16"/>
      <color theme="1"/>
      <name val="Aharoni"/>
      <charset val="177"/>
    </font>
    <font>
      <b/>
      <sz val="16"/>
      <color theme="1"/>
      <name val="Abad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4F3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rgb="FFFF0000"/>
      </right>
      <top/>
      <bottom/>
      <diagonal/>
    </border>
    <border>
      <left style="hair">
        <color rgb="FFFF0000"/>
      </left>
      <right/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</borders>
  <cellStyleXfs count="2">
    <xf numFmtId="0" fontId="0" fillId="0" borderId="0"/>
    <xf numFmtId="9" fontId="38" fillId="0" borderId="0" applyFont="0" applyFill="0" applyBorder="0" applyAlignment="0" applyProtection="0"/>
  </cellStyleXfs>
  <cellXfs count="834">
    <xf numFmtId="0" fontId="0" fillId="0" borderId="0" xfId="0"/>
    <xf numFmtId="0" fontId="4" fillId="2" borderId="0" xfId="0" applyFont="1" applyFill="1" applyAlignment="1">
      <alignment vertical="center" wrapText="1"/>
    </xf>
    <xf numFmtId="0" fontId="0" fillId="2" borderId="0" xfId="0" applyFill="1"/>
    <xf numFmtId="0" fontId="6" fillId="2" borderId="0" xfId="0" applyFont="1" applyFill="1" applyAlignment="1">
      <alignment vertical="center" wrapText="1"/>
    </xf>
    <xf numFmtId="0" fontId="2" fillId="2" borderId="0" xfId="0" applyFont="1" applyFill="1"/>
    <xf numFmtId="0" fontId="7" fillId="2" borderId="0" xfId="0" applyFont="1" applyFill="1"/>
    <xf numFmtId="0" fontId="9" fillId="2" borderId="0" xfId="0" applyFont="1" applyFill="1"/>
    <xf numFmtId="0" fontId="9" fillId="2" borderId="0" xfId="0" applyFont="1" applyFill="1" applyAlignment="1">
      <alignment vertical="center" wrapText="1"/>
    </xf>
    <xf numFmtId="49" fontId="0" fillId="5" borderId="13" xfId="0" applyNumberFormat="1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" fillId="2" borderId="0" xfId="0" applyFont="1" applyFill="1"/>
    <xf numFmtId="49" fontId="3" fillId="2" borderId="0" xfId="0" applyNumberFormat="1" applyFont="1" applyFill="1"/>
    <xf numFmtId="49" fontId="1" fillId="2" borderId="15" xfId="0" applyNumberFormat="1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9" fontId="1" fillId="2" borderId="15" xfId="0" applyNumberFormat="1" applyFont="1" applyFill="1" applyBorder="1" applyAlignment="1">
      <alignment horizontal="center"/>
    </xf>
    <xf numFmtId="0" fontId="15" fillId="2" borderId="0" xfId="0" applyFont="1" applyFill="1" applyAlignment="1">
      <alignment vertical="center" wrapText="1"/>
    </xf>
    <xf numFmtId="0" fontId="16" fillId="2" borderId="0" xfId="0" applyFont="1" applyFill="1"/>
    <xf numFmtId="0" fontId="8" fillId="2" borderId="0" xfId="0" applyFont="1" applyFill="1"/>
    <xf numFmtId="0" fontId="17" fillId="2" borderId="0" xfId="0" applyFont="1" applyFill="1" applyAlignment="1">
      <alignment horizontal="right"/>
    </xf>
    <xf numFmtId="0" fontId="17" fillId="2" borderId="0" xfId="0" applyFont="1" applyFill="1"/>
    <xf numFmtId="0" fontId="0" fillId="4" borderId="13" xfId="0" applyFill="1" applyBorder="1" applyAlignment="1">
      <alignment horizontal="center"/>
    </xf>
    <xf numFmtId="0" fontId="18" fillId="2" borderId="0" xfId="0" applyFont="1" applyFill="1"/>
    <xf numFmtId="0" fontId="3" fillId="2" borderId="0" xfId="0" applyFont="1" applyFill="1"/>
    <xf numFmtId="0" fontId="0" fillId="2" borderId="9" xfId="0" applyFill="1" applyBorder="1" applyAlignment="1">
      <alignment horizontal="right"/>
    </xf>
    <xf numFmtId="2" fontId="1" fillId="2" borderId="11" xfId="0" applyNumberFormat="1" applyFont="1" applyFill="1" applyBorder="1" applyAlignment="1">
      <alignment horizontal="left"/>
    </xf>
    <xf numFmtId="0" fontId="9" fillId="2" borderId="0" xfId="0" applyFont="1" applyFill="1" applyAlignment="1">
      <alignment horizontal="left"/>
    </xf>
    <xf numFmtId="0" fontId="0" fillId="2" borderId="0" xfId="0" applyFill="1" applyAlignment="1">
      <alignment horizontal="right"/>
    </xf>
    <xf numFmtId="2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24" fillId="2" borderId="0" xfId="0" applyFont="1" applyFill="1" applyAlignment="1">
      <alignment vertical="center" wrapText="1"/>
    </xf>
    <xf numFmtId="2" fontId="1" fillId="2" borderId="15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9" fontId="17" fillId="2" borderId="0" xfId="0" applyNumberFormat="1" applyFont="1" applyFill="1" applyAlignment="1">
      <alignment horizontal="center"/>
    </xf>
    <xf numFmtId="2" fontId="2" fillId="3" borderId="10" xfId="0" applyNumberFormat="1" applyFont="1" applyFill="1" applyBorder="1" applyAlignment="1">
      <alignment horizontal="center"/>
    </xf>
    <xf numFmtId="0" fontId="2" fillId="3" borderId="11" xfId="0" applyFont="1" applyFill="1" applyBorder="1"/>
    <xf numFmtId="0" fontId="28" fillId="2" borderId="0" xfId="0" applyFont="1" applyFill="1"/>
    <xf numFmtId="0" fontId="17" fillId="2" borderId="24" xfId="0" applyFont="1" applyFill="1" applyBorder="1"/>
    <xf numFmtId="164" fontId="17" fillId="2" borderId="25" xfId="0" applyNumberFormat="1" applyFont="1" applyFill="1" applyBorder="1" applyAlignment="1">
      <alignment horizontal="center"/>
    </xf>
    <xf numFmtId="0" fontId="17" fillId="2" borderId="26" xfId="0" applyFont="1" applyFill="1" applyBorder="1"/>
    <xf numFmtId="2" fontId="17" fillId="2" borderId="25" xfId="0" applyNumberFormat="1" applyFont="1" applyFill="1" applyBorder="1" applyAlignment="1">
      <alignment horizontal="center"/>
    </xf>
    <xf numFmtId="0" fontId="21" fillId="2" borderId="0" xfId="0" applyFont="1" applyFill="1"/>
    <xf numFmtId="0" fontId="9" fillId="2" borderId="24" xfId="0" applyFont="1" applyFill="1" applyBorder="1"/>
    <xf numFmtId="0" fontId="0" fillId="2" borderId="25" xfId="0" applyFill="1" applyBorder="1"/>
    <xf numFmtId="0" fontId="0" fillId="2" borderId="26" xfId="0" applyFill="1" applyBorder="1"/>
    <xf numFmtId="0" fontId="9" fillId="5" borderId="9" xfId="0" applyFont="1" applyFill="1" applyBorder="1"/>
    <xf numFmtId="0" fontId="0" fillId="5" borderId="10" xfId="0" applyFill="1" applyBorder="1"/>
    <xf numFmtId="0" fontId="0" fillId="5" borderId="11" xfId="0" applyFill="1" applyBorder="1"/>
    <xf numFmtId="2" fontId="0" fillId="0" borderId="0" xfId="0" applyNumberFormat="1"/>
    <xf numFmtId="0" fontId="9" fillId="3" borderId="9" xfId="0" applyFont="1" applyFill="1" applyBorder="1"/>
    <xf numFmtId="0" fontId="0" fillId="3" borderId="10" xfId="0" applyFill="1" applyBorder="1"/>
    <xf numFmtId="2" fontId="0" fillId="2" borderId="0" xfId="0" applyNumberFormat="1" applyFill="1"/>
    <xf numFmtId="167" fontId="0" fillId="2" borderId="0" xfId="0" applyNumberFormat="1" applyFill="1"/>
    <xf numFmtId="165" fontId="2" fillId="3" borderId="10" xfId="0" applyNumberFormat="1" applyFont="1" applyFill="1" applyBorder="1" applyAlignment="1">
      <alignment horizontal="center"/>
    </xf>
    <xf numFmtId="165" fontId="0" fillId="2" borderId="0" xfId="0" applyNumberFormat="1" applyFill="1"/>
    <xf numFmtId="0" fontId="0" fillId="6" borderId="16" xfId="0" applyFill="1" applyBorder="1"/>
    <xf numFmtId="0" fontId="0" fillId="6" borderId="18" xfId="0" applyFill="1" applyBorder="1"/>
    <xf numFmtId="0" fontId="0" fillId="6" borderId="17" xfId="0" applyFill="1" applyBorder="1"/>
    <xf numFmtId="0" fontId="0" fillId="6" borderId="21" xfId="0" applyFill="1" applyBorder="1"/>
    <xf numFmtId="0" fontId="0" fillId="6" borderId="20" xfId="0" applyFill="1" applyBorder="1"/>
    <xf numFmtId="0" fontId="0" fillId="6" borderId="22" xfId="0" applyFill="1" applyBorder="1"/>
    <xf numFmtId="0" fontId="17" fillId="2" borderId="0" xfId="0" applyFont="1" applyFill="1" applyAlignment="1">
      <alignment horizontal="right" indent="1"/>
    </xf>
    <xf numFmtId="0" fontId="0" fillId="2" borderId="0" xfId="0" applyFill="1" applyAlignment="1">
      <alignment horizontal="center"/>
    </xf>
    <xf numFmtId="0" fontId="17" fillId="2" borderId="11" xfId="0" applyFont="1" applyFill="1" applyBorder="1"/>
    <xf numFmtId="0" fontId="0" fillId="2" borderId="13" xfId="0" applyFill="1" applyBorder="1" applyAlignment="1">
      <alignment horizontal="center"/>
    </xf>
    <xf numFmtId="166" fontId="0" fillId="2" borderId="13" xfId="0" applyNumberFormat="1" applyFill="1" applyBorder="1" applyAlignment="1">
      <alignment horizontal="center"/>
    </xf>
    <xf numFmtId="166" fontId="0" fillId="5" borderId="21" xfId="0" applyNumberFormat="1" applyFill="1" applyBorder="1" applyAlignment="1">
      <alignment horizontal="right" vertical="center" wrapText="1"/>
    </xf>
    <xf numFmtId="166" fontId="0" fillId="5" borderId="22" xfId="0" applyNumberFormat="1" applyFill="1" applyBorder="1" applyAlignment="1">
      <alignment vertical="center" wrapText="1"/>
    </xf>
    <xf numFmtId="0" fontId="17" fillId="2" borderId="13" xfId="0" applyFont="1" applyFill="1" applyBorder="1"/>
    <xf numFmtId="168" fontId="2" fillId="4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2" fontId="2" fillId="2" borderId="0" xfId="0" applyNumberFormat="1" applyFont="1" applyFill="1" applyAlignment="1">
      <alignment horizontal="center"/>
    </xf>
    <xf numFmtId="169" fontId="0" fillId="0" borderId="0" xfId="0" applyNumberFormat="1"/>
    <xf numFmtId="0" fontId="16" fillId="0" borderId="0" xfId="0" applyFont="1"/>
    <xf numFmtId="166" fontId="0" fillId="0" borderId="13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35" fillId="0" borderId="0" xfId="0" applyFont="1" applyAlignment="1">
      <alignment vertical="center"/>
    </xf>
    <xf numFmtId="2" fontId="0" fillId="2" borderId="13" xfId="0" applyNumberFormat="1" applyFill="1" applyBorder="1" applyAlignment="1">
      <alignment horizontal="center"/>
    </xf>
    <xf numFmtId="2" fontId="0" fillId="2" borderId="9" xfId="0" applyNumberFormat="1" applyFill="1" applyBorder="1" applyAlignment="1">
      <alignment horizontal="center"/>
    </xf>
    <xf numFmtId="9" fontId="0" fillId="0" borderId="13" xfId="0" applyNumberFormat="1" applyBorder="1" applyAlignment="1">
      <alignment horizontal="center"/>
    </xf>
    <xf numFmtId="0" fontId="0" fillId="8" borderId="21" xfId="0" applyFill="1" applyBorder="1"/>
    <xf numFmtId="0" fontId="9" fillId="8" borderId="20" xfId="0" applyFont="1" applyFill="1" applyBorder="1" applyAlignment="1">
      <alignment horizontal="right"/>
    </xf>
    <xf numFmtId="0" fontId="9" fillId="8" borderId="20" xfId="0" applyFont="1" applyFill="1" applyBorder="1" applyAlignment="1">
      <alignment horizontal="left"/>
    </xf>
    <xf numFmtId="0" fontId="9" fillId="8" borderId="20" xfId="0" applyFont="1" applyFill="1" applyBorder="1"/>
    <xf numFmtId="0" fontId="9" fillId="8" borderId="22" xfId="0" applyFont="1" applyFill="1" applyBorder="1"/>
    <xf numFmtId="2" fontId="2" fillId="0" borderId="16" xfId="0" applyNumberFormat="1" applyFont="1" applyBorder="1" applyAlignment="1">
      <alignment horizontal="center"/>
    </xf>
    <xf numFmtId="0" fontId="17" fillId="2" borderId="17" xfId="0" applyFont="1" applyFill="1" applyBorder="1" applyAlignment="1">
      <alignment horizontal="left"/>
    </xf>
    <xf numFmtId="165" fontId="2" fillId="0" borderId="16" xfId="0" applyNumberFormat="1" applyFont="1" applyBorder="1" applyAlignment="1">
      <alignment horizontal="center"/>
    </xf>
    <xf numFmtId="0" fontId="17" fillId="2" borderId="11" xfId="0" applyFont="1" applyFill="1" applyBorder="1" applyAlignment="1">
      <alignment horizontal="left"/>
    </xf>
    <xf numFmtId="164" fontId="0" fillId="2" borderId="0" xfId="0" applyNumberFormat="1" applyFill="1"/>
    <xf numFmtId="1" fontId="0" fillId="2" borderId="0" xfId="0" applyNumberFormat="1" applyFill="1"/>
    <xf numFmtId="0" fontId="33" fillId="2" borderId="0" xfId="0" applyFont="1" applyFill="1" applyAlignment="1">
      <alignment horizontal="left"/>
    </xf>
    <xf numFmtId="0" fontId="34" fillId="2" borderId="0" xfId="0" applyFont="1" applyFill="1" applyAlignment="1">
      <alignment horizontal="left"/>
    </xf>
    <xf numFmtId="0" fontId="16" fillId="6" borderId="0" xfId="0" applyFont="1" applyFill="1"/>
    <xf numFmtId="0" fontId="0" fillId="6" borderId="0" xfId="0" applyFill="1"/>
    <xf numFmtId="2" fontId="1" fillId="2" borderId="15" xfId="0" applyNumberFormat="1" applyFont="1" applyFill="1" applyBorder="1" applyAlignment="1">
      <alignment horizontal="center"/>
    </xf>
    <xf numFmtId="165" fontId="1" fillId="2" borderId="15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left"/>
    </xf>
    <xf numFmtId="166" fontId="0" fillId="0" borderId="0" xfId="0" applyNumberFormat="1"/>
    <xf numFmtId="2" fontId="22" fillId="2" borderId="11" xfId="0" applyNumberFormat="1" applyFont="1" applyFill="1" applyBorder="1" applyAlignment="1">
      <alignment horizontal="left"/>
    </xf>
    <xf numFmtId="0" fontId="14" fillId="2" borderId="20" xfId="0" applyFont="1" applyFill="1" applyBorder="1"/>
    <xf numFmtId="0" fontId="14" fillId="2" borderId="0" xfId="0" applyFont="1" applyFill="1"/>
    <xf numFmtId="0" fontId="0" fillId="5" borderId="9" xfId="0" applyFill="1" applyBorder="1"/>
    <xf numFmtId="0" fontId="0" fillId="5" borderId="13" xfId="0" applyFill="1" applyBorder="1" applyAlignment="1">
      <alignment horizontal="center"/>
    </xf>
    <xf numFmtId="2" fontId="2" fillId="2" borderId="13" xfId="0" applyNumberFormat="1" applyFont="1" applyFill="1" applyBorder="1" applyAlignment="1">
      <alignment horizontal="center"/>
    </xf>
    <xf numFmtId="2" fontId="22" fillId="2" borderId="13" xfId="0" applyNumberFormat="1" applyFont="1" applyFill="1" applyBorder="1" applyAlignment="1">
      <alignment horizontal="center"/>
    </xf>
    <xf numFmtId="9" fontId="34" fillId="2" borderId="9" xfId="1" applyFont="1" applyFill="1" applyBorder="1" applyAlignment="1">
      <alignment horizontal="right"/>
    </xf>
    <xf numFmtId="2" fontId="24" fillId="2" borderId="11" xfId="0" applyNumberFormat="1" applyFont="1" applyFill="1" applyBorder="1" applyAlignment="1">
      <alignment horizontal="left"/>
    </xf>
    <xf numFmtId="0" fontId="34" fillId="2" borderId="9" xfId="0" applyFont="1" applyFill="1" applyBorder="1" applyAlignment="1">
      <alignment horizontal="right"/>
    </xf>
    <xf numFmtId="2" fontId="42" fillId="2" borderId="11" xfId="0" applyNumberFormat="1" applyFont="1" applyFill="1" applyBorder="1" applyAlignment="1">
      <alignment horizontal="left"/>
    </xf>
    <xf numFmtId="0" fontId="2" fillId="11" borderId="13" xfId="0" applyFont="1" applyFill="1" applyBorder="1" applyAlignment="1">
      <alignment horizontal="center"/>
    </xf>
    <xf numFmtId="2" fontId="39" fillId="11" borderId="13" xfId="0" applyNumberFormat="1" applyFont="1" applyFill="1" applyBorder="1" applyAlignment="1">
      <alignment horizontal="center"/>
    </xf>
    <xf numFmtId="2" fontId="2" fillId="11" borderId="13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left"/>
    </xf>
    <xf numFmtId="0" fontId="0" fillId="5" borderId="21" xfId="0" applyFill="1" applyBorder="1" applyAlignment="1">
      <alignment vertical="center" wrapText="1"/>
    </xf>
    <xf numFmtId="0" fontId="34" fillId="5" borderId="20" xfId="0" applyFont="1" applyFill="1" applyBorder="1" applyAlignment="1">
      <alignment horizontal="right" vertical="center" wrapText="1"/>
    </xf>
    <xf numFmtId="10" fontId="34" fillId="5" borderId="20" xfId="0" applyNumberFormat="1" applyFont="1" applyFill="1" applyBorder="1" applyAlignment="1">
      <alignment horizontal="left" vertical="center" wrapText="1"/>
    </xf>
    <xf numFmtId="0" fontId="0" fillId="5" borderId="9" xfId="0" applyFill="1" applyBorder="1" applyAlignment="1">
      <alignment vertical="center" wrapText="1"/>
    </xf>
    <xf numFmtId="0" fontId="34" fillId="5" borderId="10" xfId="0" applyFont="1" applyFill="1" applyBorder="1" applyAlignment="1">
      <alignment horizontal="right" vertical="center" wrapText="1"/>
    </xf>
    <xf numFmtId="10" fontId="34" fillId="5" borderId="10" xfId="0" applyNumberFormat="1" applyFont="1" applyFill="1" applyBorder="1" applyAlignment="1">
      <alignment horizontal="left" vertical="center" wrapText="1"/>
    </xf>
    <xf numFmtId="10" fontId="34" fillId="5" borderId="11" xfId="0" applyNumberFormat="1" applyFont="1" applyFill="1" applyBorder="1" applyAlignment="1">
      <alignment horizontal="left" vertical="center" wrapText="1"/>
    </xf>
    <xf numFmtId="9" fontId="34" fillId="5" borderId="11" xfId="1" applyFont="1" applyFill="1" applyBorder="1" applyAlignment="1">
      <alignment horizontal="left" vertical="center" wrapText="1"/>
    </xf>
    <xf numFmtId="0" fontId="9" fillId="5" borderId="9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0" fillId="2" borderId="0" xfId="0" applyFill="1" applyAlignment="1">
      <alignment horizontal="left" vertical="center"/>
    </xf>
    <xf numFmtId="2" fontId="0" fillId="2" borderId="0" xfId="0" applyNumberFormat="1" applyFill="1" applyAlignment="1">
      <alignment horizontal="left"/>
    </xf>
    <xf numFmtId="171" fontId="22" fillId="2" borderId="0" xfId="0" applyNumberFormat="1" applyFont="1" applyFill="1" applyAlignment="1">
      <alignment horizontal="left"/>
    </xf>
    <xf numFmtId="0" fontId="34" fillId="2" borderId="0" xfId="0" applyFont="1" applyFill="1" applyAlignment="1">
      <alignment horizontal="left" vertical="center" wrapText="1"/>
    </xf>
    <xf numFmtId="170" fontId="1" fillId="2" borderId="15" xfId="0" applyNumberFormat="1" applyFont="1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2" fillId="10" borderId="13" xfId="0" applyFont="1" applyFill="1" applyBorder="1" applyAlignment="1">
      <alignment horizontal="center"/>
    </xf>
    <xf numFmtId="49" fontId="39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2" fontId="2" fillId="3" borderId="10" xfId="0" applyNumberFormat="1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/>
    </xf>
    <xf numFmtId="49" fontId="17" fillId="2" borderId="0" xfId="0" applyNumberFormat="1" applyFont="1" applyFill="1" applyAlignment="1">
      <alignment horizontal="left"/>
    </xf>
    <xf numFmtId="49" fontId="17" fillId="2" borderId="0" xfId="0" applyNumberFormat="1" applyFont="1" applyFill="1" applyAlignment="1">
      <alignment horizontal="center"/>
    </xf>
    <xf numFmtId="165" fontId="0" fillId="2" borderId="25" xfId="0" applyNumberFormat="1" applyFill="1" applyBorder="1" applyAlignment="1">
      <alignment horizontal="center"/>
    </xf>
    <xf numFmtId="2" fontId="0" fillId="2" borderId="25" xfId="0" applyNumberForma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2" fontId="0" fillId="5" borderId="10" xfId="0" applyNumberFormat="1" applyFill="1" applyBorder="1" applyAlignment="1">
      <alignment horizontal="center"/>
    </xf>
    <xf numFmtId="166" fontId="0" fillId="5" borderId="16" xfId="0" applyNumberFormat="1" applyFill="1" applyBorder="1" applyAlignment="1">
      <alignment vertical="center" wrapText="1"/>
    </xf>
    <xf numFmtId="166" fontId="0" fillId="5" borderId="17" xfId="0" applyNumberFormat="1" applyFill="1" applyBorder="1" applyAlignment="1">
      <alignment vertical="center" wrapText="1"/>
    </xf>
    <xf numFmtId="49" fontId="2" fillId="2" borderId="0" xfId="0" applyNumberFormat="1" applyFont="1" applyFill="1"/>
    <xf numFmtId="2" fontId="0" fillId="0" borderId="0" xfId="0" applyNumberFormat="1" applyAlignment="1">
      <alignment horizontal="center"/>
    </xf>
    <xf numFmtId="0" fontId="7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37" fillId="2" borderId="0" xfId="0" applyFont="1" applyFill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0" fontId="33" fillId="2" borderId="11" xfId="0" applyFont="1" applyFill="1" applyBorder="1" applyAlignment="1">
      <alignment horizontal="left"/>
    </xf>
    <xf numFmtId="0" fontId="3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3" fillId="2" borderId="0" xfId="0" applyFont="1" applyFill="1"/>
    <xf numFmtId="0" fontId="5" fillId="2" borderId="0" xfId="0" applyFont="1" applyFill="1" applyAlignment="1">
      <alignment horizontal="center" vertical="center" wrapText="1"/>
    </xf>
    <xf numFmtId="0" fontId="34" fillId="2" borderId="0" xfId="0" applyFont="1" applyFill="1"/>
    <xf numFmtId="0" fontId="43" fillId="2" borderId="0" xfId="0" applyFont="1" applyFill="1" applyAlignment="1">
      <alignment horizontal="left"/>
    </xf>
    <xf numFmtId="0" fontId="16" fillId="12" borderId="0" xfId="0" applyFont="1" applyFill="1"/>
    <xf numFmtId="0" fontId="13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4" borderId="13" xfId="0" applyFont="1" applyFill="1" applyBorder="1"/>
    <xf numFmtId="165" fontId="0" fillId="0" borderId="13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0" fontId="45" fillId="2" borderId="0" xfId="0" applyFont="1" applyFill="1" applyAlignment="1">
      <alignment horizontal="left"/>
    </xf>
    <xf numFmtId="0" fontId="47" fillId="2" borderId="0" xfId="0" applyFont="1" applyFill="1" applyAlignment="1">
      <alignment horizontal="left"/>
    </xf>
    <xf numFmtId="0" fontId="18" fillId="2" borderId="0" xfId="0" applyFont="1" applyFill="1" applyAlignment="1">
      <alignment horizontal="left" wrapText="1"/>
    </xf>
    <xf numFmtId="2" fontId="17" fillId="2" borderId="0" xfId="0" applyNumberFormat="1" applyFont="1" applyFill="1" applyAlignment="1">
      <alignment horizontal="center"/>
    </xf>
    <xf numFmtId="165" fontId="17" fillId="2" borderId="0" xfId="0" applyNumberFormat="1" applyFont="1" applyFill="1" applyAlignment="1">
      <alignment horizontal="center"/>
    </xf>
    <xf numFmtId="0" fontId="0" fillId="4" borderId="13" xfId="0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2" fillId="2" borderId="15" xfId="0" applyFont="1" applyFill="1" applyBorder="1" applyAlignment="1">
      <alignment horizontal="center"/>
    </xf>
    <xf numFmtId="0" fontId="18" fillId="2" borderId="29" xfId="0" applyFont="1" applyFill="1" applyBorder="1" applyAlignment="1">
      <alignment vertical="center" wrapText="1"/>
    </xf>
    <xf numFmtId="0" fontId="18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left"/>
    </xf>
    <xf numFmtId="0" fontId="42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 wrapText="1"/>
    </xf>
    <xf numFmtId="0" fontId="15" fillId="2" borderId="0" xfId="0" applyFont="1" applyFill="1"/>
    <xf numFmtId="2" fontId="1" fillId="2" borderId="0" xfId="0" applyNumberFormat="1" applyFont="1" applyFill="1" applyAlignment="1">
      <alignment horizontal="center"/>
    </xf>
    <xf numFmtId="0" fontId="0" fillId="12" borderId="0" xfId="0" applyFill="1"/>
    <xf numFmtId="0" fontId="2" fillId="4" borderId="13" xfId="0" applyFont="1" applyFill="1" applyBorder="1" applyAlignment="1">
      <alignment horizontal="center" vertical="center"/>
    </xf>
    <xf numFmtId="9" fontId="1" fillId="2" borderId="0" xfId="0" applyNumberFormat="1" applyFont="1" applyFill="1" applyAlignment="1">
      <alignment horizontal="center"/>
    </xf>
    <xf numFmtId="0" fontId="17" fillId="5" borderId="13" xfId="0" applyFont="1" applyFill="1" applyBorder="1" applyAlignment="1">
      <alignment horizontal="center"/>
    </xf>
    <xf numFmtId="0" fontId="33" fillId="2" borderId="9" xfId="0" applyFont="1" applyFill="1" applyBorder="1" applyAlignment="1">
      <alignment horizontal="right"/>
    </xf>
    <xf numFmtId="2" fontId="52" fillId="2" borderId="11" xfId="0" applyNumberFormat="1" applyFont="1" applyFill="1" applyBorder="1" applyAlignment="1">
      <alignment horizontal="left"/>
    </xf>
    <xf numFmtId="0" fontId="17" fillId="5" borderId="16" xfId="0" applyFont="1" applyFill="1" applyBorder="1"/>
    <xf numFmtId="0" fontId="17" fillId="5" borderId="17" xfId="0" applyFont="1" applyFill="1" applyBorder="1"/>
    <xf numFmtId="0" fontId="17" fillId="5" borderId="11" xfId="0" applyFont="1" applyFill="1" applyBorder="1" applyAlignment="1">
      <alignment horizontal="center"/>
    </xf>
    <xf numFmtId="0" fontId="33" fillId="2" borderId="10" xfId="0" applyFont="1" applyFill="1" applyBorder="1" applyAlignment="1">
      <alignment horizontal="right"/>
    </xf>
    <xf numFmtId="0" fontId="33" fillId="2" borderId="0" xfId="0" applyFont="1" applyFill="1" applyAlignment="1">
      <alignment horizontal="right"/>
    </xf>
    <xf numFmtId="0" fontId="23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172" fontId="9" fillId="2" borderId="25" xfId="0" applyNumberFormat="1" applyFont="1" applyFill="1" applyBorder="1" applyAlignment="1">
      <alignment horizontal="center"/>
    </xf>
    <xf numFmtId="172" fontId="9" fillId="2" borderId="25" xfId="0" applyNumberFormat="1" applyFont="1" applyFill="1" applyBorder="1" applyAlignment="1">
      <alignment horizontal="left"/>
    </xf>
    <xf numFmtId="2" fontId="1" fillId="2" borderId="25" xfId="0" applyNumberFormat="1" applyFont="1" applyFill="1" applyBorder="1" applyAlignment="1">
      <alignment horizontal="center"/>
    </xf>
    <xf numFmtId="0" fontId="0" fillId="2" borderId="26" xfId="0" applyFill="1" applyBorder="1" applyAlignment="1">
      <alignment horizontal="left"/>
    </xf>
    <xf numFmtId="0" fontId="15" fillId="2" borderId="30" xfId="0" applyFont="1" applyFill="1" applyBorder="1" applyAlignment="1">
      <alignment wrapText="1"/>
    </xf>
    <xf numFmtId="0" fontId="23" fillId="2" borderId="25" xfId="0" applyFont="1" applyFill="1" applyBorder="1" applyAlignment="1">
      <alignment horizontal="left"/>
    </xf>
    <xf numFmtId="0" fontId="9" fillId="2" borderId="25" xfId="0" applyFont="1" applyFill="1" applyBorder="1" applyAlignment="1">
      <alignment horizontal="left"/>
    </xf>
    <xf numFmtId="0" fontId="18" fillId="0" borderId="0" xfId="0" applyFont="1"/>
    <xf numFmtId="0" fontId="16" fillId="2" borderId="0" xfId="0" applyFont="1" applyFill="1" applyAlignment="1">
      <alignment horizontal="left"/>
    </xf>
    <xf numFmtId="2" fontId="2" fillId="2" borderId="10" xfId="0" applyNumberFormat="1" applyFont="1" applyFill="1" applyBorder="1" applyAlignment="1">
      <alignment horizontal="center"/>
    </xf>
    <xf numFmtId="0" fontId="2" fillId="2" borderId="11" xfId="0" applyFont="1" applyFill="1" applyBorder="1"/>
    <xf numFmtId="0" fontId="9" fillId="2" borderId="0" xfId="0" applyFont="1" applyFill="1" applyAlignment="1">
      <alignment horizontal="center"/>
    </xf>
    <xf numFmtId="9" fontId="0" fillId="2" borderId="0" xfId="0" applyNumberFormat="1" applyFill="1" applyAlignment="1">
      <alignment horizontal="left"/>
    </xf>
    <xf numFmtId="2" fontId="2" fillId="10" borderId="10" xfId="0" applyNumberFormat="1" applyFont="1" applyFill="1" applyBorder="1" applyAlignment="1">
      <alignment horizontal="center"/>
    </xf>
    <xf numFmtId="0" fontId="2" fillId="10" borderId="11" xfId="0" applyFont="1" applyFill="1" applyBorder="1"/>
    <xf numFmtId="172" fontId="9" fillId="2" borderId="23" xfId="0" applyNumberFormat="1" applyFont="1" applyFill="1" applyBorder="1" applyAlignment="1">
      <alignment horizontal="left"/>
    </xf>
    <xf numFmtId="0" fontId="9" fillId="2" borderId="23" xfId="0" applyFont="1" applyFill="1" applyBorder="1"/>
    <xf numFmtId="0" fontId="0" fillId="0" borderId="26" xfId="0" applyBorder="1"/>
    <xf numFmtId="0" fontId="9" fillId="10" borderId="9" xfId="0" applyFont="1" applyFill="1" applyBorder="1"/>
    <xf numFmtId="0" fontId="2" fillId="10" borderId="10" xfId="0" applyFont="1" applyFill="1" applyBorder="1"/>
    <xf numFmtId="165" fontId="2" fillId="10" borderId="10" xfId="0" applyNumberFormat="1" applyFont="1" applyFill="1" applyBorder="1" applyAlignment="1">
      <alignment horizontal="center"/>
    </xf>
    <xf numFmtId="9" fontId="0" fillId="2" borderId="0" xfId="0" applyNumberFormat="1" applyFill="1" applyAlignment="1">
      <alignment horizontal="center"/>
    </xf>
    <xf numFmtId="0" fontId="11" fillId="2" borderId="0" xfId="0" applyFont="1" applyFill="1"/>
    <xf numFmtId="0" fontId="17" fillId="2" borderId="25" xfId="0" applyFont="1" applyFill="1" applyBorder="1"/>
    <xf numFmtId="0" fontId="2" fillId="2" borderId="25" xfId="0" applyFont="1" applyFill="1" applyBorder="1"/>
    <xf numFmtId="0" fontId="0" fillId="2" borderId="25" xfId="0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2" fillId="2" borderId="32" xfId="0" applyFont="1" applyFill="1" applyBorder="1"/>
    <xf numFmtId="2" fontId="0" fillId="2" borderId="32" xfId="0" applyNumberFormat="1" applyFill="1" applyBorder="1" applyAlignment="1">
      <alignment horizontal="center"/>
    </xf>
    <xf numFmtId="0" fontId="0" fillId="2" borderId="33" xfId="0" applyFill="1" applyBorder="1"/>
    <xf numFmtId="166" fontId="0" fillId="5" borderId="19" xfId="0" applyNumberFormat="1" applyFill="1" applyBorder="1" applyAlignment="1">
      <alignment horizontal="right" vertical="top" wrapText="1"/>
    </xf>
    <xf numFmtId="1" fontId="0" fillId="5" borderId="14" xfId="0" applyNumberFormat="1" applyFill="1" applyBorder="1" applyAlignment="1">
      <alignment horizontal="left" vertical="center" wrapText="1"/>
    </xf>
    <xf numFmtId="0" fontId="10" fillId="2" borderId="0" xfId="0" applyFont="1" applyFill="1"/>
    <xf numFmtId="166" fontId="0" fillId="5" borderId="19" xfId="0" applyNumberFormat="1" applyFill="1" applyBorder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0" fillId="4" borderId="0" xfId="0" applyFill="1"/>
    <xf numFmtId="166" fontId="0" fillId="0" borderId="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2" borderId="9" xfId="0" applyFill="1" applyBorder="1" applyAlignment="1">
      <alignment horizontal="right" vertical="center"/>
    </xf>
    <xf numFmtId="2" fontId="0" fillId="2" borderId="11" xfId="0" applyNumberFormat="1" applyFill="1" applyBorder="1" applyAlignment="1">
      <alignment horizontal="left" vertical="center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33" fillId="5" borderId="19" xfId="0" applyFont="1" applyFill="1" applyBorder="1" applyAlignment="1">
      <alignment horizontal="right"/>
    </xf>
    <xf numFmtId="0" fontId="33" fillId="5" borderId="14" xfId="0" applyFont="1" applyFill="1" applyBorder="1" applyAlignment="1">
      <alignment horizontal="left"/>
    </xf>
    <xf numFmtId="165" fontId="2" fillId="0" borderId="9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0" fontId="17" fillId="5" borderId="9" xfId="0" applyFont="1" applyFill="1" applyBorder="1"/>
    <xf numFmtId="0" fontId="17" fillId="5" borderId="18" xfId="0" applyFont="1" applyFill="1" applyBorder="1" applyAlignment="1">
      <alignment horizontal="left"/>
    </xf>
    <xf numFmtId="0" fontId="17" fillId="5" borderId="10" xfId="0" applyFont="1" applyFill="1" applyBorder="1"/>
    <xf numFmtId="0" fontId="1" fillId="12" borderId="0" xfId="0" applyFont="1" applyFill="1" applyAlignment="1">
      <alignment vertical="center"/>
    </xf>
    <xf numFmtId="0" fontId="2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0" fontId="14" fillId="12" borderId="0" xfId="0" applyFont="1" applyFill="1" applyAlignment="1">
      <alignment horizontal="right"/>
    </xf>
    <xf numFmtId="0" fontId="18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wrapText="1"/>
    </xf>
    <xf numFmtId="0" fontId="9" fillId="2" borderId="25" xfId="0" applyFont="1" applyFill="1" applyBorder="1"/>
    <xf numFmtId="165" fontId="2" fillId="2" borderId="10" xfId="0" applyNumberFormat="1" applyFont="1" applyFill="1" applyBorder="1" applyAlignment="1">
      <alignment horizontal="center"/>
    </xf>
    <xf numFmtId="166" fontId="0" fillId="2" borderId="25" xfId="0" applyNumberFormat="1" applyFill="1" applyBorder="1" applyAlignment="1">
      <alignment horizontal="center"/>
    </xf>
    <xf numFmtId="0" fontId="0" fillId="10" borderId="10" xfId="0" applyFill="1" applyBorder="1"/>
    <xf numFmtId="0" fontId="9" fillId="6" borderId="9" xfId="0" applyFont="1" applyFill="1" applyBorder="1"/>
    <xf numFmtId="0" fontId="0" fillId="6" borderId="10" xfId="0" applyFill="1" applyBorder="1"/>
    <xf numFmtId="166" fontId="0" fillId="6" borderId="10" xfId="0" applyNumberFormat="1" applyFill="1" applyBorder="1" applyAlignment="1">
      <alignment horizontal="center"/>
    </xf>
    <xf numFmtId="0" fontId="0" fillId="6" borderId="11" xfId="0" applyFill="1" applyBorder="1"/>
    <xf numFmtId="49" fontId="17" fillId="2" borderId="0" xfId="0" applyNumberFormat="1" applyFont="1" applyFill="1"/>
    <xf numFmtId="166" fontId="0" fillId="2" borderId="0" xfId="0" applyNumberFormat="1" applyFill="1"/>
    <xf numFmtId="0" fontId="7" fillId="12" borderId="0" xfId="0" applyFont="1" applyFill="1"/>
    <xf numFmtId="1" fontId="0" fillId="0" borderId="0" xfId="0" applyNumberFormat="1"/>
    <xf numFmtId="166" fontId="0" fillId="5" borderId="14" xfId="0" applyNumberFormat="1" applyFill="1" applyBorder="1" applyAlignment="1">
      <alignment vertical="center" wrapText="1"/>
    </xf>
    <xf numFmtId="0" fontId="2" fillId="4" borderId="0" xfId="0" applyFont="1" applyFill="1"/>
    <xf numFmtId="49" fontId="2" fillId="4" borderId="0" xfId="0" applyNumberFormat="1" applyFont="1" applyFill="1"/>
    <xf numFmtId="173" fontId="2" fillId="4" borderId="0" xfId="0" applyNumberFormat="1" applyFont="1" applyFill="1" applyAlignment="1">
      <alignment horizontal="left"/>
    </xf>
    <xf numFmtId="0" fontId="0" fillId="2" borderId="0" xfId="0" applyFill="1" applyAlignment="1">
      <alignment horizontal="right" vertical="center"/>
    </xf>
    <xf numFmtId="2" fontId="0" fillId="2" borderId="0" xfId="0" applyNumberFormat="1" applyFill="1" applyAlignment="1">
      <alignment horizontal="left" vertical="center"/>
    </xf>
    <xf numFmtId="0" fontId="58" fillId="2" borderId="0" xfId="0" applyFont="1" applyFill="1"/>
    <xf numFmtId="0" fontId="1" fillId="2" borderId="0" xfId="0" applyFont="1" applyFill="1" applyAlignment="1">
      <alignment horizontal="center" vertical="center" wrapText="1"/>
    </xf>
    <xf numFmtId="0" fontId="34" fillId="5" borderId="9" xfId="0" applyFont="1" applyFill="1" applyBorder="1"/>
    <xf numFmtId="174" fontId="0" fillId="0" borderId="0" xfId="0" applyNumberFormat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173" fontId="0" fillId="5" borderId="14" xfId="0" applyNumberFormat="1" applyFill="1" applyBorder="1" applyAlignment="1">
      <alignment horizontal="left" vertical="center" wrapText="1"/>
    </xf>
    <xf numFmtId="0" fontId="37" fillId="12" borderId="0" xfId="0" applyFont="1" applyFill="1"/>
    <xf numFmtId="0" fontId="12" fillId="12" borderId="0" xfId="0" applyFont="1" applyFill="1"/>
    <xf numFmtId="0" fontId="33" fillId="5" borderId="19" xfId="0" applyFont="1" applyFill="1" applyBorder="1" applyAlignment="1">
      <alignment horizontal="right" vertical="center" wrapText="1"/>
    </xf>
    <xf numFmtId="173" fontId="33" fillId="5" borderId="14" xfId="0" applyNumberFormat="1" applyFont="1" applyFill="1" applyBorder="1" applyAlignment="1">
      <alignment horizontal="left" vertical="center" wrapText="1"/>
    </xf>
    <xf numFmtId="49" fontId="33" fillId="5" borderId="22" xfId="0" applyNumberFormat="1" applyFont="1" applyFill="1" applyBorder="1" applyAlignment="1">
      <alignment vertical="center" wrapText="1"/>
    </xf>
    <xf numFmtId="0" fontId="33" fillId="5" borderId="21" xfId="0" applyFont="1" applyFill="1" applyBorder="1" applyAlignment="1">
      <alignment horizontal="right" vertical="center"/>
    </xf>
    <xf numFmtId="0" fontId="9" fillId="0" borderId="0" xfId="0" applyFont="1"/>
    <xf numFmtId="165" fontId="0" fillId="0" borderId="0" xfId="0" applyNumberFormat="1"/>
    <xf numFmtId="0" fontId="11" fillId="0" borderId="0" xfId="0" applyFont="1"/>
    <xf numFmtId="0" fontId="15" fillId="0" borderId="0" xfId="0" applyFont="1" applyAlignment="1">
      <alignment vertical="center" wrapText="1"/>
    </xf>
    <xf numFmtId="2" fontId="52" fillId="2" borderId="0" xfId="0" applyNumberFormat="1" applyFont="1" applyFill="1" applyAlignment="1">
      <alignment horizontal="left"/>
    </xf>
    <xf numFmtId="0" fontId="33" fillId="5" borderId="13" xfId="0" applyFont="1" applyFill="1" applyBorder="1" applyAlignment="1">
      <alignment horizontal="center"/>
    </xf>
    <xf numFmtId="2" fontId="18" fillId="0" borderId="0" xfId="0" applyNumberFormat="1" applyFont="1"/>
    <xf numFmtId="166" fontId="2" fillId="0" borderId="0" xfId="0" applyNumberFormat="1" applyFont="1" applyAlignment="1">
      <alignment horizontal="center"/>
    </xf>
    <xf numFmtId="0" fontId="17" fillId="5" borderId="9" xfId="0" applyFont="1" applyFill="1" applyBorder="1" applyAlignment="1">
      <alignment horizontal="left"/>
    </xf>
    <xf numFmtId="0" fontId="2" fillId="10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7" fillId="2" borderId="24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right"/>
    </xf>
    <xf numFmtId="0" fontId="17" fillId="2" borderId="34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7" fillId="9" borderId="20" xfId="0" applyFont="1" applyFill="1" applyBorder="1"/>
    <xf numFmtId="0" fontId="2" fillId="3" borderId="10" xfId="0" applyFont="1" applyFill="1" applyBorder="1"/>
    <xf numFmtId="0" fontId="37" fillId="9" borderId="0" xfId="0" applyFont="1" applyFill="1"/>
    <xf numFmtId="0" fontId="37" fillId="2" borderId="0" xfId="0" applyFont="1" applyFill="1"/>
    <xf numFmtId="0" fontId="17" fillId="5" borderId="10" xfId="0" applyFont="1" applyFill="1" applyBorder="1" applyAlignment="1">
      <alignment horizontal="left"/>
    </xf>
    <xf numFmtId="0" fontId="7" fillId="4" borderId="0" xfId="0" applyFont="1" applyFill="1"/>
    <xf numFmtId="0" fontId="59" fillId="2" borderId="0" xfId="0" applyFont="1" applyFill="1" applyAlignment="1">
      <alignment horizontal="center"/>
    </xf>
    <xf numFmtId="0" fontId="7" fillId="0" borderId="0" xfId="0" applyFont="1"/>
    <xf numFmtId="0" fontId="0" fillId="5" borderId="13" xfId="0" applyFill="1" applyBorder="1" applyAlignment="1">
      <alignment horizontal="left"/>
    </xf>
    <xf numFmtId="0" fontId="1" fillId="0" borderId="13" xfId="0" applyFont="1" applyBorder="1" applyAlignment="1">
      <alignment horizontal="center"/>
    </xf>
    <xf numFmtId="0" fontId="22" fillId="2" borderId="0" xfId="0" applyFont="1" applyFill="1" applyAlignment="1">
      <alignment horizontal="right"/>
    </xf>
    <xf numFmtId="0" fontId="1" fillId="0" borderId="15" xfId="0" applyFont="1" applyBorder="1" applyAlignment="1">
      <alignment horizontal="center"/>
    </xf>
    <xf numFmtId="0" fontId="9" fillId="5" borderId="13" xfId="0" applyFont="1" applyFill="1" applyBorder="1"/>
    <xf numFmtId="0" fontId="0" fillId="5" borderId="13" xfId="0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/>
    </xf>
    <xf numFmtId="0" fontId="14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2" fontId="0" fillId="2" borderId="11" xfId="0" applyNumberFormat="1" applyFill="1" applyBorder="1" applyAlignment="1">
      <alignment horizontal="left"/>
    </xf>
    <xf numFmtId="0" fontId="0" fillId="2" borderId="16" xfId="0" applyFill="1" applyBorder="1" applyAlignment="1">
      <alignment horizontal="right"/>
    </xf>
    <xf numFmtId="2" fontId="1" fillId="2" borderId="17" xfId="0" applyNumberFormat="1" applyFont="1" applyFill="1" applyBorder="1" applyAlignment="1">
      <alignment horizontal="left"/>
    </xf>
    <xf numFmtId="0" fontId="0" fillId="2" borderId="10" xfId="0" applyFill="1" applyBorder="1" applyAlignment="1">
      <alignment horizontal="right"/>
    </xf>
    <xf numFmtId="0" fontId="18" fillId="2" borderId="0" xfId="0" applyFont="1" applyFill="1" applyAlignment="1">
      <alignment wrapText="1"/>
    </xf>
    <xf numFmtId="0" fontId="7" fillId="2" borderId="0" xfId="0" applyFont="1" applyFill="1" applyAlignment="1">
      <alignment horizontal="center"/>
    </xf>
    <xf numFmtId="0" fontId="22" fillId="2" borderId="32" xfId="0" applyFont="1" applyFill="1" applyBorder="1" applyAlignment="1">
      <alignment horizontal="center"/>
    </xf>
    <xf numFmtId="0" fontId="22" fillId="2" borderId="2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/>
    <xf numFmtId="0" fontId="2" fillId="3" borderId="9" xfId="0" applyFont="1" applyFill="1" applyBorder="1" applyAlignment="1">
      <alignment horizontal="left"/>
    </xf>
    <xf numFmtId="1" fontId="2" fillId="3" borderId="10" xfId="0" applyNumberFormat="1" applyFont="1" applyFill="1" applyBorder="1" applyAlignment="1">
      <alignment horizontal="center"/>
    </xf>
    <xf numFmtId="0" fontId="17" fillId="13" borderId="16" xfId="0" applyFont="1" applyFill="1" applyBorder="1"/>
    <xf numFmtId="0" fontId="17" fillId="13" borderId="18" xfId="0" applyFont="1" applyFill="1" applyBorder="1" applyAlignment="1">
      <alignment horizontal="right"/>
    </xf>
    <xf numFmtId="0" fontId="17" fillId="13" borderId="17" xfId="0" applyFont="1" applyFill="1" applyBorder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17" fillId="13" borderId="22" xfId="0" applyFont="1" applyFill="1" applyBorder="1" applyAlignment="1">
      <alignment horizontal="left"/>
    </xf>
    <xf numFmtId="0" fontId="17" fillId="2" borderId="0" xfId="0" applyFont="1" applyFill="1" applyAlignment="1">
      <alignment horizontal="center" vertical="center"/>
    </xf>
    <xf numFmtId="49" fontId="0" fillId="2" borderId="0" xfId="0" applyNumberFormat="1" applyFill="1" applyAlignment="1">
      <alignment horizontal="center"/>
    </xf>
    <xf numFmtId="0" fontId="0" fillId="2" borderId="24" xfId="0" applyFill="1" applyBorder="1"/>
    <xf numFmtId="49" fontId="17" fillId="2" borderId="0" xfId="0" applyNumberFormat="1" applyFont="1" applyFill="1" applyAlignment="1">
      <alignment horizontal="right"/>
    </xf>
    <xf numFmtId="49" fontId="9" fillId="6" borderId="16" xfId="0" applyNumberFormat="1" applyFont="1" applyFill="1" applyBorder="1" applyAlignment="1">
      <alignment horizontal="left"/>
    </xf>
    <xf numFmtId="165" fontId="0" fillId="6" borderId="18" xfId="0" applyNumberFormat="1" applyFill="1" applyBorder="1" applyAlignment="1">
      <alignment horizontal="center"/>
    </xf>
    <xf numFmtId="49" fontId="9" fillId="6" borderId="19" xfId="0" applyNumberFormat="1" applyFont="1" applyFill="1" applyBorder="1" applyAlignment="1">
      <alignment horizontal="left"/>
    </xf>
    <xf numFmtId="0" fontId="0" fillId="6" borderId="0" xfId="0" applyFill="1" applyAlignment="1">
      <alignment horizontal="center"/>
    </xf>
    <xf numFmtId="0" fontId="0" fillId="6" borderId="14" xfId="0" applyFill="1" applyBorder="1"/>
    <xf numFmtId="49" fontId="9" fillId="6" borderId="21" xfId="0" applyNumberFormat="1" applyFont="1" applyFill="1" applyBorder="1" applyAlignment="1">
      <alignment horizontal="left"/>
    </xf>
    <xf numFmtId="165" fontId="0" fillId="6" borderId="20" xfId="0" applyNumberFormat="1" applyFill="1" applyBorder="1" applyAlignment="1">
      <alignment horizontal="center"/>
    </xf>
    <xf numFmtId="0" fontId="48" fillId="2" borderId="0" xfId="0" applyFont="1" applyFill="1"/>
    <xf numFmtId="0" fontId="11" fillId="2" borderId="26" xfId="0" applyFont="1" applyFill="1" applyBorder="1"/>
    <xf numFmtId="0" fontId="9" fillId="2" borderId="9" xfId="0" applyFont="1" applyFill="1" applyBorder="1"/>
    <xf numFmtId="0" fontId="0" fillId="2" borderId="10" xfId="0" applyFill="1" applyBorder="1"/>
    <xf numFmtId="166" fontId="2" fillId="2" borderId="10" xfId="0" applyNumberFormat="1" applyFont="1" applyFill="1" applyBorder="1" applyAlignment="1">
      <alignment horizontal="center"/>
    </xf>
    <xf numFmtId="0" fontId="44" fillId="2" borderId="11" xfId="0" applyFont="1" applyFill="1" applyBorder="1"/>
    <xf numFmtId="0" fontId="44" fillId="3" borderId="11" xfId="0" applyFont="1" applyFill="1" applyBorder="1"/>
    <xf numFmtId="167" fontId="0" fillId="0" borderId="13" xfId="0" applyNumberFormat="1" applyBorder="1" applyAlignment="1">
      <alignment horizontal="center"/>
    </xf>
    <xf numFmtId="166" fontId="2" fillId="0" borderId="13" xfId="0" applyNumberFormat="1" applyFont="1" applyBorder="1" applyAlignment="1">
      <alignment horizontal="center"/>
    </xf>
    <xf numFmtId="166" fontId="0" fillId="2" borderId="0" xfId="0" applyNumberFormat="1" applyFill="1" applyAlignment="1">
      <alignment horizontal="center"/>
    </xf>
    <xf numFmtId="167" fontId="0" fillId="2" borderId="0" xfId="0" applyNumberForma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5" borderId="17" xfId="0" applyFont="1" applyFill="1" applyBorder="1"/>
    <xf numFmtId="0" fontId="9" fillId="5" borderId="14" xfId="0" applyFont="1" applyFill="1" applyBorder="1"/>
    <xf numFmtId="49" fontId="2" fillId="5" borderId="22" xfId="0" applyNumberFormat="1" applyFont="1" applyFill="1" applyBorder="1"/>
    <xf numFmtId="2" fontId="2" fillId="2" borderId="16" xfId="0" applyNumberFormat="1" applyFont="1" applyFill="1" applyBorder="1" applyAlignment="1">
      <alignment horizontal="center"/>
    </xf>
    <xf numFmtId="165" fontId="2" fillId="2" borderId="16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1" fontId="2" fillId="2" borderId="9" xfId="0" applyNumberFormat="1" applyFont="1" applyFill="1" applyBorder="1" applyAlignment="1">
      <alignment horizontal="center"/>
    </xf>
    <xf numFmtId="0" fontId="9" fillId="2" borderId="19" xfId="0" applyFont="1" applyFill="1" applyBorder="1" applyAlignment="1">
      <alignment horizontal="right" vertical="center" wrapText="1"/>
    </xf>
    <xf numFmtId="173" fontId="9" fillId="2" borderId="14" xfId="0" applyNumberFormat="1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horizontal="right" vertical="center" wrapText="1"/>
    </xf>
    <xf numFmtId="173" fontId="9" fillId="2" borderId="22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66" fontId="0" fillId="5" borderId="10" xfId="0" applyNumberFormat="1" applyFill="1" applyBorder="1" applyAlignment="1">
      <alignment horizontal="center"/>
    </xf>
    <xf numFmtId="168" fontId="0" fillId="5" borderId="14" xfId="0" applyNumberFormat="1" applyFill="1" applyBorder="1" applyAlignment="1">
      <alignment horizontal="left" vertical="center" wrapText="1"/>
    </xf>
    <xf numFmtId="0" fontId="0" fillId="5" borderId="21" xfId="0" applyFill="1" applyBorder="1"/>
    <xf numFmtId="0" fontId="0" fillId="5" borderId="22" xfId="0" applyFill="1" applyBorder="1"/>
    <xf numFmtId="0" fontId="17" fillId="5" borderId="17" xfId="0" applyFont="1" applyFill="1" applyBorder="1" applyAlignment="1">
      <alignment horizontal="center"/>
    </xf>
    <xf numFmtId="0" fontId="17" fillId="5" borderId="19" xfId="0" applyFont="1" applyFill="1" applyBorder="1" applyAlignment="1">
      <alignment horizontal="right"/>
    </xf>
    <xf numFmtId="168" fontId="17" fillId="5" borderId="14" xfId="0" applyNumberFormat="1" applyFont="1" applyFill="1" applyBorder="1" applyAlignment="1">
      <alignment horizontal="left"/>
    </xf>
    <xf numFmtId="0" fontId="17" fillId="5" borderId="21" xfId="0" applyFont="1" applyFill="1" applyBorder="1" applyAlignment="1">
      <alignment horizontal="right"/>
    </xf>
    <xf numFmtId="166" fontId="17" fillId="5" borderId="22" xfId="0" applyNumberFormat="1" applyFont="1" applyFill="1" applyBorder="1"/>
    <xf numFmtId="168" fontId="17" fillId="5" borderId="14" xfId="0" applyNumberFormat="1" applyFont="1" applyFill="1" applyBorder="1" applyAlignment="1">
      <alignment horizontal="left" vertical="center" wrapText="1"/>
    </xf>
    <xf numFmtId="0" fontId="33" fillId="0" borderId="11" xfId="0" applyFont="1" applyBorder="1" applyAlignment="1">
      <alignment horizontal="left"/>
    </xf>
    <xf numFmtId="0" fontId="16" fillId="14" borderId="0" xfId="0" applyFont="1" applyFill="1"/>
    <xf numFmtId="0" fontId="0" fillId="14" borderId="0" xfId="0" applyFill="1"/>
    <xf numFmtId="0" fontId="14" fillId="14" borderId="0" xfId="0" applyFont="1" applyFill="1" applyAlignment="1">
      <alignment horizontal="right"/>
    </xf>
    <xf numFmtId="0" fontId="7" fillId="14" borderId="0" xfId="0" applyFont="1" applyFill="1"/>
    <xf numFmtId="0" fontId="37" fillId="14" borderId="0" xfId="0" applyFont="1" applyFill="1"/>
    <xf numFmtId="0" fontId="12" fillId="14" borderId="0" xfId="0" applyFont="1" applyFill="1"/>
    <xf numFmtId="0" fontId="16" fillId="15" borderId="0" xfId="0" applyFont="1" applyFill="1"/>
    <xf numFmtId="0" fontId="0" fillId="2" borderId="0" xfId="0" applyFill="1" applyAlignment="1">
      <alignment vertical="center" wrapText="1"/>
    </xf>
    <xf numFmtId="0" fontId="0" fillId="15" borderId="0" xfId="0" applyFill="1"/>
    <xf numFmtId="0" fontId="14" fillId="15" borderId="0" xfId="0" applyFont="1" applyFill="1" applyAlignment="1">
      <alignment horizontal="right"/>
    </xf>
    <xf numFmtId="0" fontId="7" fillId="15" borderId="0" xfId="0" applyFont="1" applyFill="1"/>
    <xf numFmtId="0" fontId="37" fillId="15" borderId="0" xfId="0" applyFont="1" applyFill="1"/>
    <xf numFmtId="0" fontId="12" fillId="15" borderId="0" xfId="0" applyFont="1" applyFill="1"/>
    <xf numFmtId="166" fontId="2" fillId="0" borderId="9" xfId="0" applyNumberFormat="1" applyFont="1" applyBorder="1" applyAlignment="1">
      <alignment horizontal="center"/>
    </xf>
    <xf numFmtId="0" fontId="62" fillId="4" borderId="9" xfId="0" applyFont="1" applyFill="1" applyBorder="1"/>
    <xf numFmtId="0" fontId="63" fillId="4" borderId="10" xfId="0" applyFont="1" applyFill="1" applyBorder="1"/>
    <xf numFmtId="0" fontId="16" fillId="4" borderId="10" xfId="0" applyFont="1" applyFill="1" applyBorder="1"/>
    <xf numFmtId="0" fontId="0" fillId="4" borderId="11" xfId="0" applyFill="1" applyBorder="1"/>
    <xf numFmtId="0" fontId="16" fillId="4" borderId="0" xfId="0" applyFont="1" applyFill="1"/>
    <xf numFmtId="0" fontId="42" fillId="2" borderId="0" xfId="0" applyFont="1" applyFill="1" applyAlignment="1">
      <alignment vertical="center"/>
    </xf>
    <xf numFmtId="0" fontId="16" fillId="10" borderId="0" xfId="0" applyFont="1" applyFill="1"/>
    <xf numFmtId="0" fontId="0" fillId="10" borderId="0" xfId="0" applyFill="1"/>
    <xf numFmtId="0" fontId="34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0" fillId="4" borderId="13" xfId="0" applyFill="1" applyBorder="1" applyAlignment="1">
      <alignment horizontal="center" vertical="center"/>
    </xf>
    <xf numFmtId="0" fontId="22" fillId="2" borderId="0" xfId="0" applyFont="1" applyFill="1" applyAlignment="1">
      <alignment horizontal="center"/>
    </xf>
    <xf numFmtId="1" fontId="22" fillId="0" borderId="13" xfId="0" applyNumberFormat="1" applyFont="1" applyBorder="1" applyAlignment="1">
      <alignment horizontal="center"/>
    </xf>
    <xf numFmtId="0" fontId="0" fillId="2" borderId="13" xfId="0" applyFill="1" applyBorder="1" applyAlignment="1">
      <alignment horizontal="center" vertical="center" wrapText="1"/>
    </xf>
    <xf numFmtId="165" fontId="0" fillId="2" borderId="13" xfId="0" applyNumberFormat="1" applyFill="1" applyBorder="1" applyAlignment="1">
      <alignment horizontal="center"/>
    </xf>
    <xf numFmtId="2" fontId="0" fillId="0" borderId="11" xfId="0" applyNumberFormat="1" applyBorder="1" applyAlignment="1">
      <alignment horizontal="left"/>
    </xf>
    <xf numFmtId="0" fontId="14" fillId="4" borderId="0" xfId="0" applyFont="1" applyFill="1" applyAlignment="1">
      <alignment horizontal="right"/>
    </xf>
    <xf numFmtId="0" fontId="9" fillId="5" borderId="24" xfId="0" applyFont="1" applyFill="1" applyBorder="1"/>
    <xf numFmtId="0" fontId="23" fillId="5" borderId="25" xfId="0" applyFont="1" applyFill="1" applyBorder="1" applyAlignment="1">
      <alignment horizontal="left"/>
    </xf>
    <xf numFmtId="0" fontId="0" fillId="5" borderId="25" xfId="0" applyFill="1" applyBorder="1"/>
    <xf numFmtId="2" fontId="1" fillId="5" borderId="25" xfId="0" applyNumberFormat="1" applyFont="1" applyFill="1" applyBorder="1" applyAlignment="1">
      <alignment horizontal="center"/>
    </xf>
    <xf numFmtId="0" fontId="0" fillId="5" borderId="26" xfId="0" applyFill="1" applyBorder="1" applyAlignment="1">
      <alignment horizontal="left"/>
    </xf>
    <xf numFmtId="0" fontId="9" fillId="5" borderId="24" xfId="0" applyFont="1" applyFill="1" applyBorder="1" applyAlignment="1">
      <alignment horizontal="left"/>
    </xf>
    <xf numFmtId="0" fontId="23" fillId="5" borderId="24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" fillId="10" borderId="9" xfId="0" applyFont="1" applyFill="1" applyBorder="1" applyAlignment="1">
      <alignment horizontal="right"/>
    </xf>
    <xf numFmtId="165" fontId="0" fillId="0" borderId="0" xfId="0" applyNumberFormat="1" applyAlignment="1">
      <alignment horizontal="center"/>
    </xf>
    <xf numFmtId="0" fontId="2" fillId="2" borderId="9" xfId="0" applyFont="1" applyFill="1" applyBorder="1"/>
    <xf numFmtId="0" fontId="17" fillId="2" borderId="24" xfId="0" applyFont="1" applyFill="1" applyBorder="1" applyAlignment="1">
      <alignment horizontal="right"/>
    </xf>
    <xf numFmtId="167" fontId="0" fillId="0" borderId="0" xfId="0" applyNumberFormat="1"/>
    <xf numFmtId="0" fontId="9" fillId="10" borderId="9" xfId="0" applyFont="1" applyFill="1" applyBorder="1" applyAlignment="1">
      <alignment horizontal="right"/>
    </xf>
    <xf numFmtId="0" fontId="9" fillId="10" borderId="10" xfId="0" applyFont="1" applyFill="1" applyBorder="1"/>
    <xf numFmtId="166" fontId="0" fillId="4" borderId="0" xfId="0" applyNumberFormat="1" applyFill="1" applyAlignment="1">
      <alignment horizontal="right"/>
    </xf>
    <xf numFmtId="173" fontId="0" fillId="4" borderId="0" xfId="0" applyNumberFormat="1" applyFill="1" applyAlignment="1">
      <alignment horizontal="center"/>
    </xf>
    <xf numFmtId="0" fontId="8" fillId="4" borderId="0" xfId="0" applyFont="1" applyFill="1"/>
    <xf numFmtId="175" fontId="9" fillId="8" borderId="17" xfId="0" applyNumberFormat="1" applyFont="1" applyFill="1" applyBorder="1" applyAlignment="1">
      <alignment horizontal="left"/>
    </xf>
    <xf numFmtId="1" fontId="2" fillId="0" borderId="16" xfId="0" applyNumberFormat="1" applyFont="1" applyBorder="1" applyAlignment="1">
      <alignment horizontal="center"/>
    </xf>
    <xf numFmtId="0" fontId="17" fillId="5" borderId="18" xfId="0" applyFont="1" applyFill="1" applyBorder="1" applyAlignment="1">
      <alignment horizontal="center"/>
    </xf>
    <xf numFmtId="0" fontId="17" fillId="5" borderId="13" xfId="0" applyFont="1" applyFill="1" applyBorder="1" applyAlignment="1">
      <alignment horizontal="left"/>
    </xf>
    <xf numFmtId="0" fontId="17" fillId="5" borderId="9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left"/>
    </xf>
    <xf numFmtId="0" fontId="17" fillId="5" borderId="8" xfId="0" applyFont="1" applyFill="1" applyBorder="1" applyAlignment="1">
      <alignment horizontal="left"/>
    </xf>
    <xf numFmtId="0" fontId="17" fillId="5" borderId="16" xfId="0" applyFont="1" applyFill="1" applyBorder="1" applyAlignment="1">
      <alignment horizontal="lef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2" fillId="4" borderId="11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2" fontId="0" fillId="7" borderId="8" xfId="0" applyNumberForma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0" fontId="34" fillId="5" borderId="13" xfId="0" applyFont="1" applyFill="1" applyBorder="1" applyAlignment="1">
      <alignment horizontal="left"/>
    </xf>
    <xf numFmtId="0" fontId="2" fillId="6" borderId="13" xfId="0" applyFont="1" applyFill="1" applyBorder="1" applyAlignment="1">
      <alignment horizontal="left"/>
    </xf>
    <xf numFmtId="0" fontId="2" fillId="6" borderId="27" xfId="0" applyFont="1" applyFill="1" applyBorder="1" applyAlignment="1">
      <alignment horizontal="left"/>
    </xf>
    <xf numFmtId="0" fontId="36" fillId="5" borderId="13" xfId="0" applyFont="1" applyFill="1" applyBorder="1" applyAlignment="1">
      <alignment horizontal="left"/>
    </xf>
    <xf numFmtId="0" fontId="0" fillId="2" borderId="16" xfId="0" applyFill="1" applyBorder="1" applyAlignment="1">
      <alignment horizontal="right" vertical="center"/>
    </xf>
    <xf numFmtId="0" fontId="0" fillId="2" borderId="21" xfId="0" applyFill="1" applyBorder="1" applyAlignment="1">
      <alignment horizontal="right" vertical="center"/>
    </xf>
    <xf numFmtId="2" fontId="0" fillId="2" borderId="17" xfId="0" applyNumberFormat="1" applyFill="1" applyBorder="1" applyAlignment="1">
      <alignment horizontal="left" vertical="center"/>
    </xf>
    <xf numFmtId="2" fontId="0" fillId="2" borderId="22" xfId="0" applyNumberFormat="1" applyFill="1" applyBorder="1" applyAlignment="1">
      <alignment horizontal="left" vertical="center"/>
    </xf>
    <xf numFmtId="0" fontId="34" fillId="5" borderId="9" xfId="0" applyFont="1" applyFill="1" applyBorder="1" applyAlignment="1">
      <alignment horizontal="left"/>
    </xf>
    <xf numFmtId="0" fontId="34" fillId="5" borderId="11" xfId="0" applyFont="1" applyFill="1" applyBorder="1" applyAlignment="1">
      <alignment horizontal="left"/>
    </xf>
    <xf numFmtId="0" fontId="33" fillId="5" borderId="16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33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2" fontId="2" fillId="2" borderId="16" xfId="0" applyNumberFormat="1" applyFont="1" applyFill="1" applyBorder="1" applyAlignment="1">
      <alignment horizontal="right" vertical="center"/>
    </xf>
    <xf numFmtId="2" fontId="2" fillId="2" borderId="19" xfId="0" applyNumberFormat="1" applyFont="1" applyFill="1" applyBorder="1" applyAlignment="1">
      <alignment horizontal="right" vertical="center"/>
    </xf>
    <xf numFmtId="2" fontId="2" fillId="2" borderId="21" xfId="0" applyNumberFormat="1" applyFont="1" applyFill="1" applyBorder="1" applyAlignment="1">
      <alignment horizontal="right" vertical="center"/>
    </xf>
    <xf numFmtId="2" fontId="2" fillId="2" borderId="17" xfId="0" applyNumberFormat="1" applyFont="1" applyFill="1" applyBorder="1" applyAlignment="1">
      <alignment horizontal="left" vertical="center"/>
    </xf>
    <xf numFmtId="2" fontId="2" fillId="2" borderId="14" xfId="0" applyNumberFormat="1" applyFont="1" applyFill="1" applyBorder="1" applyAlignment="1">
      <alignment horizontal="left" vertical="center"/>
    </xf>
    <xf numFmtId="2" fontId="2" fillId="2" borderId="22" xfId="0" applyNumberFormat="1" applyFont="1" applyFill="1" applyBorder="1" applyAlignment="1">
      <alignment horizontal="left" vertical="center"/>
    </xf>
    <xf numFmtId="0" fontId="33" fillId="5" borderId="16" xfId="0" applyFont="1" applyFill="1" applyBorder="1" applyAlignment="1">
      <alignment horizontal="center"/>
    </xf>
    <xf numFmtId="0" fontId="33" fillId="5" borderId="17" xfId="0" applyFont="1" applyFill="1" applyBorder="1" applyAlignment="1">
      <alignment horizontal="center"/>
    </xf>
    <xf numFmtId="0" fontId="33" fillId="5" borderId="21" xfId="0" applyFont="1" applyFill="1" applyBorder="1" applyAlignment="1">
      <alignment horizontal="center"/>
    </xf>
    <xf numFmtId="0" fontId="33" fillId="5" borderId="22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0" fillId="4" borderId="13" xfId="0" applyFill="1" applyBorder="1" applyAlignment="1">
      <alignment horizontal="center"/>
    </xf>
    <xf numFmtId="0" fontId="2" fillId="6" borderId="8" xfId="0" applyFont="1" applyFill="1" applyBorder="1" applyAlignment="1">
      <alignment horizontal="left"/>
    </xf>
    <xf numFmtId="0" fontId="0" fillId="2" borderId="20" xfId="0" applyFill="1" applyBorder="1" applyAlignment="1">
      <alignment horizontal="right"/>
    </xf>
    <xf numFmtId="0" fontId="2" fillId="4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166" fontId="0" fillId="5" borderId="16" xfId="0" applyNumberFormat="1" applyFill="1" applyBorder="1" applyAlignment="1">
      <alignment horizontal="center" vertical="center" wrapText="1"/>
    </xf>
    <xf numFmtId="166" fontId="0" fillId="5" borderId="17" xfId="0" applyNumberFormat="1" applyFill="1" applyBorder="1" applyAlignment="1">
      <alignment horizontal="center" vertical="center" wrapText="1"/>
    </xf>
    <xf numFmtId="166" fontId="0" fillId="5" borderId="21" xfId="0" applyNumberFormat="1" applyFill="1" applyBorder="1" applyAlignment="1">
      <alignment horizontal="center" vertical="center" wrapText="1"/>
    </xf>
    <xf numFmtId="166" fontId="0" fillId="5" borderId="22" xfId="0" applyNumberForma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166" fontId="0" fillId="2" borderId="8" xfId="0" applyNumberFormat="1" applyFill="1" applyBorder="1" applyAlignment="1">
      <alignment horizontal="center" vertical="center" wrapText="1"/>
    </xf>
    <xf numFmtId="166" fontId="0" fillId="2" borderId="12" xfId="0" applyNumberFormat="1" applyFill="1" applyBorder="1" applyAlignment="1">
      <alignment horizontal="center" vertical="center" wrapText="1"/>
    </xf>
    <xf numFmtId="0" fontId="0" fillId="4" borderId="0" xfId="0" applyFill="1" applyAlignment="1">
      <alignment horizontal="right"/>
    </xf>
    <xf numFmtId="0" fontId="0" fillId="2" borderId="19" xfId="0" applyFill="1" applyBorder="1" applyAlignment="1">
      <alignment horizontal="right" vertical="center"/>
    </xf>
    <xf numFmtId="2" fontId="0" fillId="2" borderId="14" xfId="0" applyNumberFormat="1" applyFill="1" applyBorder="1" applyAlignment="1">
      <alignment horizontal="left" vertical="center"/>
    </xf>
    <xf numFmtId="0" fontId="0" fillId="4" borderId="13" xfId="0" applyFill="1" applyBorder="1" applyAlignment="1">
      <alignment horizontal="center" wrapText="1"/>
    </xf>
    <xf numFmtId="0" fontId="23" fillId="2" borderId="0" xfId="0" applyFont="1" applyFill="1" applyAlignment="1">
      <alignment horizontal="center" vertical="center" wrapText="1"/>
    </xf>
    <xf numFmtId="0" fontId="22" fillId="2" borderId="0" xfId="0" applyFont="1" applyFill="1" applyAlignment="1">
      <alignment horizontal="left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34" fillId="5" borderId="13" xfId="0" applyFont="1" applyFill="1" applyBorder="1" applyAlignment="1">
      <alignment horizontal="left" vertical="center"/>
    </xf>
    <xf numFmtId="0" fontId="34" fillId="5" borderId="9" xfId="0" applyFont="1" applyFill="1" applyBorder="1" applyAlignment="1">
      <alignment horizontal="left" vertical="center"/>
    </xf>
    <xf numFmtId="0" fontId="34" fillId="5" borderId="10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/>
    </xf>
    <xf numFmtId="0" fontId="17" fillId="5" borderId="11" xfId="0" applyFont="1" applyFill="1" applyBorder="1" applyAlignment="1">
      <alignment horizontal="left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3" fillId="5" borderId="9" xfId="0" applyFont="1" applyFill="1" applyBorder="1" applyAlignment="1">
      <alignment horizontal="left"/>
    </xf>
    <xf numFmtId="0" fontId="33" fillId="5" borderId="11" xfId="0" applyFont="1" applyFill="1" applyBorder="1" applyAlignment="1">
      <alignment horizontal="left"/>
    </xf>
    <xf numFmtId="0" fontId="43" fillId="1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49" fillId="4" borderId="13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2" fontId="18" fillId="2" borderId="0" xfId="0" applyNumberFormat="1" applyFont="1" applyFill="1" applyAlignment="1">
      <alignment horizontal="center" vertical="center" wrapText="1"/>
    </xf>
    <xf numFmtId="2" fontId="15" fillId="2" borderId="0" xfId="0" applyNumberFormat="1" applyFont="1" applyFill="1" applyAlignment="1">
      <alignment horizontal="center" vertical="center" wrapText="1"/>
    </xf>
    <xf numFmtId="0" fontId="17" fillId="2" borderId="0" xfId="0" applyFont="1" applyFill="1" applyAlignment="1">
      <alignment horizontal="left"/>
    </xf>
    <xf numFmtId="0" fontId="17" fillId="2" borderId="28" xfId="0" applyFont="1" applyFill="1" applyBorder="1" applyAlignment="1">
      <alignment horizontal="left"/>
    </xf>
    <xf numFmtId="0" fontId="9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2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21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right" vertical="center" wrapText="1"/>
    </xf>
    <xf numFmtId="0" fontId="1" fillId="2" borderId="21" xfId="0" applyFont="1" applyFill="1" applyBorder="1" applyAlignment="1">
      <alignment horizontal="right" vertical="center" wrapText="1"/>
    </xf>
    <xf numFmtId="0" fontId="51" fillId="2" borderId="17" xfId="0" applyFont="1" applyFill="1" applyBorder="1" applyAlignment="1">
      <alignment horizontal="left" vertical="center" wrapText="1"/>
    </xf>
    <xf numFmtId="0" fontId="50" fillId="2" borderId="22" xfId="0" applyFont="1" applyFill="1" applyBorder="1" applyAlignment="1">
      <alignment horizontal="left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left" vertical="center" wrapText="1"/>
    </xf>
    <xf numFmtId="0" fontId="1" fillId="2" borderId="19" xfId="0" applyFont="1" applyFill="1" applyBorder="1" applyAlignment="1">
      <alignment horizontal="right" vertical="center" wrapText="1"/>
    </xf>
    <xf numFmtId="0" fontId="50" fillId="2" borderId="14" xfId="0" applyFont="1" applyFill="1" applyBorder="1" applyAlignment="1">
      <alignment horizontal="left" vertical="center" wrapText="1"/>
    </xf>
    <xf numFmtId="0" fontId="34" fillId="2" borderId="0" xfId="0" applyFont="1" applyFill="1" applyAlignment="1">
      <alignment horizontal="center" vertical="center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0" fontId="17" fillId="2" borderId="20" xfId="0" applyFont="1" applyFill="1" applyBorder="1" applyAlignment="1">
      <alignment horizontal="right"/>
    </xf>
    <xf numFmtId="0" fontId="9" fillId="2" borderId="28" xfId="0" applyFont="1" applyFill="1" applyBorder="1" applyAlignment="1">
      <alignment horizontal="right"/>
    </xf>
    <xf numFmtId="0" fontId="40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9" fillId="10" borderId="16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 wrapText="1"/>
    </xf>
    <xf numFmtId="0" fontId="9" fillId="10" borderId="17" xfId="0" applyFont="1" applyFill="1" applyBorder="1" applyAlignment="1">
      <alignment horizontal="center" vertical="center" wrapText="1"/>
    </xf>
    <xf numFmtId="0" fontId="2" fillId="10" borderId="21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2" fillId="10" borderId="22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39" fillId="10" borderId="19" xfId="0" applyFont="1" applyFill="1" applyBorder="1" applyAlignment="1">
      <alignment horizontal="center"/>
    </xf>
    <xf numFmtId="0" fontId="39" fillId="10" borderId="0" xfId="0" applyFont="1" applyFill="1" applyAlignment="1">
      <alignment horizontal="center"/>
    </xf>
    <xf numFmtId="0" fontId="39" fillId="10" borderId="9" xfId="0" applyFont="1" applyFill="1" applyBorder="1" applyAlignment="1">
      <alignment horizontal="center"/>
    </xf>
    <xf numFmtId="0" fontId="39" fillId="10" borderId="11" xfId="0" applyFont="1" applyFill="1" applyBorder="1" applyAlignment="1">
      <alignment horizontal="center"/>
    </xf>
    <xf numFmtId="0" fontId="17" fillId="5" borderId="12" xfId="0" applyFont="1" applyFill="1" applyBorder="1" applyAlignment="1">
      <alignment horizontal="left"/>
    </xf>
    <xf numFmtId="0" fontId="9" fillId="10" borderId="9" xfId="0" applyFont="1" applyFill="1" applyBorder="1" applyAlignment="1">
      <alignment horizontal="center" vertical="center" wrapText="1"/>
    </xf>
    <xf numFmtId="0" fontId="9" fillId="10" borderId="10" xfId="0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9" fillId="10" borderId="13" xfId="0" applyFont="1" applyFill="1" applyBorder="1" applyAlignment="1">
      <alignment horizontal="center"/>
    </xf>
    <xf numFmtId="0" fontId="2" fillId="10" borderId="10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right"/>
    </xf>
    <xf numFmtId="0" fontId="9" fillId="2" borderId="23" xfId="0" applyFont="1" applyFill="1" applyBorder="1" applyAlignment="1">
      <alignment horizontal="center"/>
    </xf>
    <xf numFmtId="0" fontId="7" fillId="12" borderId="0" xfId="0" applyFont="1" applyFill="1" applyAlignment="1">
      <alignment horizontal="left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7" fillId="2" borderId="24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2" borderId="24" xfId="0" applyFont="1" applyFill="1" applyBorder="1" applyAlignment="1">
      <alignment horizontal="left"/>
    </xf>
    <xf numFmtId="0" fontId="17" fillId="2" borderId="25" xfId="0" applyFont="1" applyFill="1" applyBorder="1" applyAlignment="1">
      <alignment horizontal="left"/>
    </xf>
    <xf numFmtId="0" fontId="20" fillId="2" borderId="23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9" fillId="10" borderId="9" xfId="0" applyFont="1" applyFill="1" applyBorder="1" applyAlignment="1">
      <alignment horizontal="center"/>
    </xf>
    <xf numFmtId="0" fontId="9" fillId="10" borderId="10" xfId="0" applyFont="1" applyFill="1" applyBorder="1" applyAlignment="1">
      <alignment horizontal="center"/>
    </xf>
    <xf numFmtId="0" fontId="17" fillId="2" borderId="0" xfId="0" applyFont="1" applyFill="1" applyAlignment="1">
      <alignment horizontal="right"/>
    </xf>
    <xf numFmtId="0" fontId="2" fillId="2" borderId="9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/>
    </xf>
    <xf numFmtId="0" fontId="2" fillId="10" borderId="9" xfId="0" applyFont="1" applyFill="1" applyBorder="1" applyAlignment="1">
      <alignment horizontal="left"/>
    </xf>
    <xf numFmtId="0" fontId="2" fillId="10" borderId="10" xfId="0" applyFont="1" applyFill="1" applyBorder="1" applyAlignment="1">
      <alignment horizontal="left"/>
    </xf>
    <xf numFmtId="49" fontId="17" fillId="2" borderId="0" xfId="0" applyNumberFormat="1" applyFont="1" applyFill="1" applyAlignment="1">
      <alignment horizontal="left"/>
    </xf>
    <xf numFmtId="49" fontId="17" fillId="2" borderId="0" xfId="0" applyNumberFormat="1" applyFont="1" applyFill="1" applyAlignment="1">
      <alignment horizontal="center"/>
    </xf>
    <xf numFmtId="166" fontId="0" fillId="5" borderId="19" xfId="0" applyNumberFormat="1" applyFill="1" applyBorder="1" applyAlignment="1">
      <alignment horizontal="center" vertical="center" wrapText="1"/>
    </xf>
    <xf numFmtId="166" fontId="0" fillId="5" borderId="14" xfId="0" applyNumberFormat="1" applyFill="1" applyBorder="1" applyAlignment="1">
      <alignment horizontal="center" vertical="center" wrapText="1"/>
    </xf>
    <xf numFmtId="166" fontId="0" fillId="5" borderId="16" xfId="0" applyNumberFormat="1" applyFill="1" applyBorder="1" applyAlignment="1">
      <alignment horizontal="center" wrapText="1"/>
    </xf>
    <xf numFmtId="166" fontId="0" fillId="5" borderId="17" xfId="0" applyNumberFormat="1" applyFill="1" applyBorder="1" applyAlignment="1">
      <alignment horizontal="center" wrapText="1"/>
    </xf>
    <xf numFmtId="166" fontId="0" fillId="5" borderId="19" xfId="0" applyNumberFormat="1" applyFill="1" applyBorder="1" applyAlignment="1">
      <alignment horizontal="center" wrapText="1"/>
    </xf>
    <xf numFmtId="166" fontId="0" fillId="5" borderId="14" xfId="0" applyNumberFormat="1" applyFill="1" applyBorder="1" applyAlignment="1">
      <alignment horizontal="center" wrapText="1"/>
    </xf>
    <xf numFmtId="0" fontId="0" fillId="5" borderId="2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2" fillId="4" borderId="19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right" vertical="center"/>
    </xf>
    <xf numFmtId="0" fontId="2" fillId="8" borderId="20" xfId="0" applyFont="1" applyFill="1" applyBorder="1" applyAlignment="1">
      <alignment horizontal="right" vertical="center"/>
    </xf>
    <xf numFmtId="2" fontId="2" fillId="8" borderId="17" xfId="0" applyNumberFormat="1" applyFont="1" applyFill="1" applyBorder="1" applyAlignment="1">
      <alignment horizontal="left" vertical="center"/>
    </xf>
    <xf numFmtId="0" fontId="2" fillId="8" borderId="22" xfId="0" applyFont="1" applyFill="1" applyBorder="1" applyAlignment="1">
      <alignment horizontal="left" vertical="center"/>
    </xf>
    <xf numFmtId="0" fontId="9" fillId="8" borderId="16" xfId="0" applyFont="1" applyFill="1" applyBorder="1" applyAlignment="1">
      <alignment horizontal="left"/>
    </xf>
    <xf numFmtId="0" fontId="9" fillId="8" borderId="18" xfId="0" applyFont="1" applyFill="1" applyBorder="1" applyAlignment="1">
      <alignment horizontal="left"/>
    </xf>
    <xf numFmtId="0" fontId="9" fillId="8" borderId="17" xfId="0" applyFont="1" applyFill="1" applyBorder="1" applyAlignment="1">
      <alignment horizontal="left"/>
    </xf>
    <xf numFmtId="0" fontId="0" fillId="4" borderId="9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left"/>
    </xf>
    <xf numFmtId="0" fontId="9" fillId="5" borderId="9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9" fillId="5" borderId="11" xfId="0" applyFont="1" applyFill="1" applyBorder="1" applyAlignment="1">
      <alignment horizontal="left" vertical="center" wrapText="1"/>
    </xf>
    <xf numFmtId="0" fontId="34" fillId="2" borderId="18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/>
    </xf>
    <xf numFmtId="0" fontId="40" fillId="2" borderId="0" xfId="0" applyFont="1" applyFill="1" applyAlignment="1">
      <alignment horizontal="right" vertical="center" wrapText="1"/>
    </xf>
    <xf numFmtId="0" fontId="2" fillId="11" borderId="13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wrapText="1"/>
    </xf>
    <xf numFmtId="0" fontId="33" fillId="2" borderId="12" xfId="0" applyFont="1" applyFill="1" applyBorder="1" applyAlignment="1">
      <alignment horizontal="center" wrapText="1"/>
    </xf>
    <xf numFmtId="166" fontId="0" fillId="5" borderId="21" xfId="0" applyNumberFormat="1" applyFill="1" applyBorder="1" applyAlignment="1">
      <alignment horizontal="center" vertical="top" wrapText="1"/>
    </xf>
    <xf numFmtId="166" fontId="0" fillId="5" borderId="22" xfId="0" applyNumberFormat="1" applyFill="1" applyBorder="1" applyAlignment="1">
      <alignment horizontal="center" vertical="top" wrapText="1"/>
    </xf>
    <xf numFmtId="0" fontId="37" fillId="9" borderId="0" xfId="0" applyFont="1" applyFill="1" applyAlignment="1">
      <alignment horizontal="left"/>
    </xf>
    <xf numFmtId="0" fontId="9" fillId="8" borderId="16" xfId="0" applyFont="1" applyFill="1" applyBorder="1" applyAlignment="1">
      <alignment horizontal="center"/>
    </xf>
    <xf numFmtId="0" fontId="9" fillId="8" borderId="18" xfId="0" applyFont="1" applyFill="1" applyBorder="1" applyAlignment="1">
      <alignment horizontal="center"/>
    </xf>
    <xf numFmtId="0" fontId="9" fillId="8" borderId="17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right" vertical="center"/>
    </xf>
    <xf numFmtId="0" fontId="2" fillId="8" borderId="21" xfId="0" applyFont="1" applyFill="1" applyBorder="1" applyAlignment="1">
      <alignment horizontal="right" vertical="center"/>
    </xf>
    <xf numFmtId="0" fontId="7" fillId="9" borderId="20" xfId="0" applyFont="1" applyFill="1" applyBorder="1" applyAlignment="1">
      <alignment horizontal="left"/>
    </xf>
    <xf numFmtId="0" fontId="0" fillId="10" borderId="13" xfId="0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49" fontId="2" fillId="2" borderId="21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center" wrapText="1"/>
    </xf>
    <xf numFmtId="0" fontId="23" fillId="2" borderId="17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wrapText="1"/>
    </xf>
    <xf numFmtId="0" fontId="23" fillId="2" borderId="14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left"/>
    </xf>
    <xf numFmtId="0" fontId="0" fillId="10" borderId="27" xfId="0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18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166" fontId="17" fillId="5" borderId="16" xfId="0" applyNumberFormat="1" applyFont="1" applyFill="1" applyBorder="1" applyAlignment="1">
      <alignment horizontal="center" vertical="center" wrapText="1"/>
    </xf>
    <xf numFmtId="166" fontId="17" fillId="5" borderId="17" xfId="0" applyNumberFormat="1" applyFont="1" applyFill="1" applyBorder="1" applyAlignment="1">
      <alignment horizontal="center" vertical="center" wrapText="1"/>
    </xf>
    <xf numFmtId="166" fontId="17" fillId="5" borderId="19" xfId="0" applyNumberFormat="1" applyFont="1" applyFill="1" applyBorder="1" applyAlignment="1">
      <alignment horizontal="center" vertical="center" wrapText="1"/>
    </xf>
    <xf numFmtId="166" fontId="17" fillId="5" borderId="14" xfId="0" applyNumberFormat="1" applyFont="1" applyFill="1" applyBorder="1" applyAlignment="1">
      <alignment horizontal="center" vertical="center" wrapText="1"/>
    </xf>
    <xf numFmtId="166" fontId="17" fillId="5" borderId="21" xfId="0" applyNumberFormat="1" applyFont="1" applyFill="1" applyBorder="1" applyAlignment="1">
      <alignment horizontal="center" wrapText="1"/>
    </xf>
    <xf numFmtId="0" fontId="17" fillId="5" borderId="22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7" fillId="9" borderId="0" xfId="0" applyFont="1" applyFill="1" applyAlignment="1">
      <alignment horizontal="left"/>
    </xf>
    <xf numFmtId="0" fontId="7" fillId="9" borderId="20" xfId="0" applyFont="1" applyFill="1" applyBorder="1" applyAlignment="1">
      <alignment horizontal="center"/>
    </xf>
    <xf numFmtId="166" fontId="17" fillId="5" borderId="16" xfId="0" applyNumberFormat="1" applyFont="1" applyFill="1" applyBorder="1" applyAlignment="1">
      <alignment horizontal="center" wrapText="1"/>
    </xf>
    <xf numFmtId="166" fontId="17" fillId="5" borderId="18" xfId="0" applyNumberFormat="1" applyFont="1" applyFill="1" applyBorder="1" applyAlignment="1">
      <alignment horizontal="center" wrapText="1"/>
    </xf>
    <xf numFmtId="166" fontId="17" fillId="5" borderId="19" xfId="0" applyNumberFormat="1" applyFont="1" applyFill="1" applyBorder="1" applyAlignment="1">
      <alignment horizontal="center" wrapText="1"/>
    </xf>
    <xf numFmtId="166" fontId="17" fillId="5" borderId="0" xfId="0" applyNumberFormat="1" applyFont="1" applyFill="1" applyAlignment="1">
      <alignment horizontal="center" wrapText="1"/>
    </xf>
    <xf numFmtId="166" fontId="17" fillId="5" borderId="20" xfId="0" applyNumberFormat="1" applyFont="1" applyFill="1" applyBorder="1" applyAlignment="1">
      <alignment horizontal="center" wrapText="1"/>
    </xf>
    <xf numFmtId="0" fontId="9" fillId="7" borderId="8" xfId="0" applyFont="1" applyFill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49" fontId="2" fillId="5" borderId="21" xfId="0" applyNumberFormat="1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49" fontId="49" fillId="5" borderId="16" xfId="0" applyNumberFormat="1" applyFont="1" applyFill="1" applyBorder="1" applyAlignment="1">
      <alignment horizontal="center" vertical="center" wrapText="1"/>
    </xf>
    <xf numFmtId="49" fontId="49" fillId="5" borderId="18" xfId="0" applyNumberFormat="1" applyFont="1" applyFill="1" applyBorder="1" applyAlignment="1">
      <alignment horizontal="center" vertical="center" wrapText="1"/>
    </xf>
    <xf numFmtId="49" fontId="49" fillId="5" borderId="19" xfId="0" applyNumberFormat="1" applyFont="1" applyFill="1" applyBorder="1" applyAlignment="1">
      <alignment horizontal="center" vertical="center" wrapText="1"/>
    </xf>
    <xf numFmtId="49" fontId="49" fillId="5" borderId="0" xfId="0" applyNumberFormat="1" applyFont="1" applyFill="1" applyAlignment="1">
      <alignment horizontal="center" vertical="center" wrapText="1"/>
    </xf>
    <xf numFmtId="49" fontId="49" fillId="5" borderId="21" xfId="0" applyNumberFormat="1" applyFont="1" applyFill="1" applyBorder="1" applyAlignment="1">
      <alignment horizontal="center" vertical="center" wrapText="1"/>
    </xf>
    <xf numFmtId="49" fontId="49" fillId="5" borderId="20" xfId="0" applyNumberFormat="1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left" vertical="center" wrapText="1"/>
    </xf>
    <xf numFmtId="0" fontId="22" fillId="2" borderId="14" xfId="0" applyFont="1" applyFill="1" applyBorder="1" applyAlignment="1">
      <alignment horizontal="left" vertical="center" wrapText="1"/>
    </xf>
    <xf numFmtId="0" fontId="22" fillId="2" borderId="22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10" borderId="16" xfId="0" applyFill="1" applyBorder="1" applyAlignment="1">
      <alignment horizontal="center" vertical="center" wrapText="1"/>
    </xf>
    <xf numFmtId="0" fontId="0" fillId="10" borderId="17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0" fillId="10" borderId="14" xfId="0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wrapText="1"/>
    </xf>
    <xf numFmtId="0" fontId="23" fillId="5" borderId="18" xfId="0" applyFont="1" applyFill="1" applyBorder="1" applyAlignment="1">
      <alignment horizontal="center" wrapText="1"/>
    </xf>
    <xf numFmtId="0" fontId="23" fillId="5" borderId="19" xfId="0" applyFont="1" applyFill="1" applyBorder="1" applyAlignment="1">
      <alignment horizontal="center" wrapText="1"/>
    </xf>
    <xf numFmtId="0" fontId="23" fillId="5" borderId="0" xfId="0" applyFont="1" applyFill="1" applyAlignment="1">
      <alignment horizontal="center" wrapText="1"/>
    </xf>
    <xf numFmtId="0" fontId="2" fillId="4" borderId="13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right"/>
    </xf>
    <xf numFmtId="0" fontId="9" fillId="5" borderId="20" xfId="0" applyFont="1" applyFill="1" applyBorder="1" applyAlignment="1">
      <alignment horizontal="right"/>
    </xf>
    <xf numFmtId="0" fontId="9" fillId="8" borderId="20" xfId="0" applyFont="1" applyFill="1" applyBorder="1" applyAlignment="1">
      <alignment horizontal="right"/>
    </xf>
    <xf numFmtId="0" fontId="37" fillId="4" borderId="0" xfId="0" applyFont="1" applyFill="1" applyAlignment="1">
      <alignment horizontal="left"/>
    </xf>
    <xf numFmtId="0" fontId="2" fillId="4" borderId="8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right"/>
    </xf>
    <xf numFmtId="0" fontId="9" fillId="5" borderId="18" xfId="0" applyFont="1" applyFill="1" applyBorder="1" applyAlignment="1">
      <alignment horizontal="right"/>
    </xf>
    <xf numFmtId="2" fontId="0" fillId="7" borderId="27" xfId="0" applyNumberFormat="1" applyFill="1" applyBorder="1" applyAlignment="1">
      <alignment horizontal="center" vertical="center"/>
    </xf>
    <xf numFmtId="2" fontId="0" fillId="7" borderId="12" xfId="0" applyNumberForma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right"/>
    </xf>
    <xf numFmtId="0" fontId="9" fillId="5" borderId="0" xfId="0" applyFont="1" applyFill="1" applyAlignment="1">
      <alignment horizontal="right"/>
    </xf>
    <xf numFmtId="0" fontId="0" fillId="5" borderId="9" xfId="0" applyFill="1" applyBorder="1" applyAlignment="1">
      <alignment horizontal="left"/>
    </xf>
    <xf numFmtId="0" fontId="0" fillId="5" borderId="11" xfId="0" applyFill="1" applyBorder="1" applyAlignment="1">
      <alignment horizontal="left"/>
    </xf>
    <xf numFmtId="0" fontId="37" fillId="4" borderId="20" xfId="0" applyFont="1" applyFill="1" applyBorder="1" applyAlignment="1">
      <alignment horizontal="center"/>
    </xf>
    <xf numFmtId="0" fontId="0" fillId="5" borderId="13" xfId="0" applyFill="1" applyBorder="1" applyAlignment="1">
      <alignment horizontal="left"/>
    </xf>
    <xf numFmtId="0" fontId="0" fillId="2" borderId="14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2" fontId="0" fillId="0" borderId="17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7" fillId="4" borderId="20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17" fillId="6" borderId="9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2" borderId="19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left" vertical="center"/>
    </xf>
    <xf numFmtId="0" fontId="17" fillId="13" borderId="21" xfId="0" applyFont="1" applyFill="1" applyBorder="1" applyAlignment="1">
      <alignment horizontal="right"/>
    </xf>
    <xf numFmtId="0" fontId="17" fillId="13" borderId="20" xfId="0" applyFont="1" applyFill="1" applyBorder="1" applyAlignment="1">
      <alignment horizontal="right"/>
    </xf>
    <xf numFmtId="0" fontId="9" fillId="2" borderId="0" xfId="0" applyFont="1" applyFill="1" applyAlignment="1">
      <alignment horizontal="center" vertical="center"/>
    </xf>
    <xf numFmtId="2" fontId="1" fillId="2" borderId="35" xfId="0" applyNumberFormat="1" applyFont="1" applyFill="1" applyBorder="1" applyAlignment="1">
      <alignment horizontal="center" vertical="center"/>
    </xf>
    <xf numFmtId="2" fontId="1" fillId="2" borderId="36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6" fontId="17" fillId="5" borderId="16" xfId="0" applyNumberFormat="1" applyFont="1" applyFill="1" applyBorder="1" applyAlignment="1">
      <alignment horizontal="center"/>
    </xf>
    <xf numFmtId="0" fontId="17" fillId="5" borderId="17" xfId="0" applyFont="1" applyFill="1" applyBorder="1" applyAlignment="1">
      <alignment horizontal="center"/>
    </xf>
    <xf numFmtId="0" fontId="37" fillId="3" borderId="0" xfId="0" applyFont="1" applyFill="1" applyAlignment="1">
      <alignment horizontal="center"/>
    </xf>
    <xf numFmtId="0" fontId="7" fillId="3" borderId="20" xfId="0" applyFont="1" applyFill="1" applyBorder="1" applyAlignment="1">
      <alignment horizontal="left"/>
    </xf>
    <xf numFmtId="0" fontId="2" fillId="4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7" fillId="3" borderId="20" xfId="0" applyFont="1" applyFill="1" applyBorder="1" applyAlignment="1">
      <alignment horizontal="center"/>
    </xf>
    <xf numFmtId="49" fontId="17" fillId="2" borderId="0" xfId="0" applyNumberFormat="1" applyFont="1" applyFill="1" applyAlignment="1">
      <alignment horizontal="right"/>
    </xf>
    <xf numFmtId="0" fontId="2" fillId="3" borderId="9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7" fillId="3" borderId="7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9" fillId="2" borderId="14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3" fillId="15" borderId="0" xfId="0" applyFont="1" applyFill="1" applyAlignment="1">
      <alignment horizontal="left"/>
    </xf>
    <xf numFmtId="0" fontId="17" fillId="2" borderId="34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7" fillId="15" borderId="0" xfId="0" applyFont="1" applyFill="1" applyAlignment="1">
      <alignment horizontal="left"/>
    </xf>
    <xf numFmtId="0" fontId="18" fillId="2" borderId="20" xfId="0" applyFont="1" applyFill="1" applyBorder="1" applyAlignment="1">
      <alignment horizontal="center"/>
    </xf>
    <xf numFmtId="0" fontId="5" fillId="15" borderId="1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5" fillId="15" borderId="6" xfId="0" applyFont="1" applyFill="1" applyBorder="1" applyAlignment="1">
      <alignment horizontal="center" vertical="center" wrapText="1"/>
    </xf>
    <xf numFmtId="0" fontId="43" fillId="14" borderId="0" xfId="0" applyFont="1" applyFill="1" applyAlignment="1">
      <alignment horizontal="left"/>
    </xf>
    <xf numFmtId="0" fontId="7" fillId="14" borderId="0" xfId="0" applyFont="1" applyFill="1" applyAlignment="1">
      <alignment horizontal="left"/>
    </xf>
    <xf numFmtId="0" fontId="5" fillId="14" borderId="1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6" xfId="0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right"/>
    </xf>
    <xf numFmtId="0" fontId="9" fillId="8" borderId="18" xfId="0" applyFont="1" applyFill="1" applyBorder="1" applyAlignment="1">
      <alignment horizontal="right"/>
    </xf>
    <xf numFmtId="166" fontId="33" fillId="5" borderId="16" xfId="0" applyNumberFormat="1" applyFont="1" applyFill="1" applyBorder="1" applyAlignment="1">
      <alignment horizontal="center" vertical="center" wrapText="1"/>
    </xf>
    <xf numFmtId="166" fontId="33" fillId="5" borderId="17" xfId="0" applyNumberFormat="1" applyFont="1" applyFill="1" applyBorder="1" applyAlignment="1">
      <alignment horizontal="center" vertical="center" wrapText="1"/>
    </xf>
    <xf numFmtId="166" fontId="34" fillId="5" borderId="9" xfId="0" applyNumberFormat="1" applyFont="1" applyFill="1" applyBorder="1" applyAlignment="1">
      <alignment horizontal="left"/>
    </xf>
    <xf numFmtId="166" fontId="34" fillId="5" borderId="11" xfId="0" applyNumberFormat="1" applyFont="1" applyFill="1" applyBorder="1" applyAlignment="1">
      <alignment horizontal="left"/>
    </xf>
    <xf numFmtId="0" fontId="9" fillId="10" borderId="9" xfId="0" applyFont="1" applyFill="1" applyBorder="1" applyAlignment="1">
      <alignment horizontal="left"/>
    </xf>
    <xf numFmtId="0" fontId="9" fillId="10" borderId="10" xfId="0" applyFont="1" applyFill="1" applyBorder="1" applyAlignment="1">
      <alignment horizontal="left"/>
    </xf>
    <xf numFmtId="0" fontId="64" fillId="4" borderId="0" xfId="0" applyFont="1" applyFill="1" applyAlignment="1">
      <alignment horizontal="left"/>
    </xf>
    <xf numFmtId="0" fontId="17" fillId="13" borderId="9" xfId="0" applyFont="1" applyFill="1" applyBorder="1" applyAlignment="1">
      <alignment horizontal="center"/>
    </xf>
    <xf numFmtId="0" fontId="17" fillId="13" borderId="11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 wrapText="1"/>
    </xf>
    <xf numFmtId="0" fontId="16" fillId="4" borderId="0" xfId="0" applyFont="1" applyFill="1" applyAlignment="1">
      <alignment horizontal="left"/>
    </xf>
    <xf numFmtId="0" fontId="17" fillId="2" borderId="19" xfId="0" applyFont="1" applyFill="1" applyBorder="1" applyAlignment="1">
      <alignment horizontal="center"/>
    </xf>
    <xf numFmtId="2" fontId="15" fillId="2" borderId="0" xfId="0" applyNumberFormat="1" applyFont="1" applyFill="1" applyAlignment="1">
      <alignment horizontal="center"/>
    </xf>
    <xf numFmtId="0" fontId="15" fillId="2" borderId="20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wrapText="1"/>
    </xf>
    <xf numFmtId="0" fontId="2" fillId="4" borderId="12" xfId="0" applyFont="1" applyFill="1" applyBorder="1" applyAlignment="1">
      <alignment horizontal="center" wrapText="1"/>
    </xf>
    <xf numFmtId="0" fontId="18" fillId="2" borderId="0" xfId="0" applyFont="1" applyFill="1" applyAlignment="1">
      <alignment horizontal="center" vertical="center" wrapText="1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66" fillId="12" borderId="1" xfId="0" applyFont="1" applyFill="1" applyBorder="1" applyAlignment="1">
      <alignment horizontal="center" vertical="center" wrapText="1"/>
    </xf>
    <xf numFmtId="0" fontId="66" fillId="12" borderId="2" xfId="0" applyFont="1" applyFill="1" applyBorder="1" applyAlignment="1">
      <alignment horizontal="center" vertical="center" wrapText="1"/>
    </xf>
    <xf numFmtId="0" fontId="66" fillId="12" borderId="3" xfId="0" applyFont="1" applyFill="1" applyBorder="1" applyAlignment="1">
      <alignment horizontal="center" vertical="center" wrapText="1"/>
    </xf>
    <xf numFmtId="0" fontId="66" fillId="12" borderId="4" xfId="0" applyFont="1" applyFill="1" applyBorder="1" applyAlignment="1">
      <alignment horizontal="center" vertical="center" wrapText="1"/>
    </xf>
    <xf numFmtId="0" fontId="66" fillId="12" borderId="5" xfId="0" applyFont="1" applyFill="1" applyBorder="1" applyAlignment="1">
      <alignment horizontal="center" vertical="center" wrapText="1"/>
    </xf>
    <xf numFmtId="0" fontId="66" fillId="12" borderId="6" xfId="0" applyFont="1" applyFill="1" applyBorder="1" applyAlignment="1">
      <alignment horizontal="center" vertical="center" wrapText="1"/>
    </xf>
    <xf numFmtId="0" fontId="67" fillId="16" borderId="0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CC00"/>
      <color rgb="FFC198E0"/>
      <color rgb="FFF3AA79"/>
      <color rgb="FFF09456"/>
      <color rgb="FF9148C8"/>
      <color rgb="FFAE7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23</xdr:row>
      <xdr:rowOff>19050</xdr:rowOff>
    </xdr:from>
    <xdr:to>
      <xdr:col>2</xdr:col>
      <xdr:colOff>19050</xdr:colOff>
      <xdr:row>40</xdr:row>
      <xdr:rowOff>66675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33475" y="4038600"/>
          <a:ext cx="133350" cy="33337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647701</xdr:colOff>
      <xdr:row>46</xdr:row>
      <xdr:rowOff>171451</xdr:rowOff>
    </xdr:from>
    <xdr:to>
      <xdr:col>2</xdr:col>
      <xdr:colOff>38100</xdr:colOff>
      <xdr:row>49</xdr:row>
      <xdr:rowOff>38100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1" y="8048626"/>
          <a:ext cx="85724" cy="4476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704850</xdr:colOff>
      <xdr:row>125</xdr:row>
      <xdr:rowOff>0</xdr:rowOff>
    </xdr:from>
    <xdr:to>
      <xdr:col>2</xdr:col>
      <xdr:colOff>66675</xdr:colOff>
      <xdr:row>127</xdr:row>
      <xdr:rowOff>0</xdr:rowOff>
    </xdr:to>
    <xdr:sp macro="" textlink="">
      <xdr:nvSpPr>
        <xdr:cNvPr id="4" name="Abrir llav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47775" y="18678525"/>
          <a:ext cx="66675" cy="3810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619126</xdr:colOff>
      <xdr:row>57</xdr:row>
      <xdr:rowOff>28574</xdr:rowOff>
    </xdr:from>
    <xdr:to>
      <xdr:col>2</xdr:col>
      <xdr:colOff>1</xdr:colOff>
      <xdr:row>76</xdr:row>
      <xdr:rowOff>180974</xdr:rowOff>
    </xdr:to>
    <xdr:sp macro="" textlink="">
      <xdr:nvSpPr>
        <xdr:cNvPr id="5" name="Abrir llav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71576" y="9248774"/>
          <a:ext cx="76200" cy="37814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638174</xdr:colOff>
      <xdr:row>81</xdr:row>
      <xdr:rowOff>9526</xdr:rowOff>
    </xdr:from>
    <xdr:to>
      <xdr:col>2</xdr:col>
      <xdr:colOff>38099</xdr:colOff>
      <xdr:row>83</xdr:row>
      <xdr:rowOff>19050</xdr:rowOff>
    </xdr:to>
    <xdr:sp macro="" textlink="">
      <xdr:nvSpPr>
        <xdr:cNvPr id="6" name="Abrir llav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90624" y="13820776"/>
          <a:ext cx="95250" cy="39052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600075</xdr:colOff>
      <xdr:row>206</xdr:row>
      <xdr:rowOff>142873</xdr:rowOff>
    </xdr:from>
    <xdr:to>
      <xdr:col>2</xdr:col>
      <xdr:colOff>9525</xdr:colOff>
      <xdr:row>218</xdr:row>
      <xdr:rowOff>57150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152525" y="26860498"/>
          <a:ext cx="104775" cy="2790827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28575</xdr:colOff>
      <xdr:row>230</xdr:row>
      <xdr:rowOff>104775</xdr:rowOff>
    </xdr:from>
    <xdr:to>
      <xdr:col>4</xdr:col>
      <xdr:colOff>200025</xdr:colOff>
      <xdr:row>230</xdr:row>
      <xdr:rowOff>104776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2828925" y="31422975"/>
          <a:ext cx="1714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239</xdr:row>
      <xdr:rowOff>104775</xdr:rowOff>
    </xdr:from>
    <xdr:to>
      <xdr:col>4</xdr:col>
      <xdr:colOff>857250</xdr:colOff>
      <xdr:row>239</xdr:row>
      <xdr:rowOff>104776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3324225" y="331660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240</xdr:row>
      <xdr:rowOff>114300</xdr:rowOff>
    </xdr:from>
    <xdr:to>
      <xdr:col>4</xdr:col>
      <xdr:colOff>857250</xdr:colOff>
      <xdr:row>240</xdr:row>
      <xdr:rowOff>114301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3324225" y="333756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241</xdr:row>
      <xdr:rowOff>104775</xdr:rowOff>
    </xdr:from>
    <xdr:to>
      <xdr:col>4</xdr:col>
      <xdr:colOff>857250</xdr:colOff>
      <xdr:row>241</xdr:row>
      <xdr:rowOff>104776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3324225" y="335661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242</xdr:row>
      <xdr:rowOff>104775</xdr:rowOff>
    </xdr:from>
    <xdr:to>
      <xdr:col>4</xdr:col>
      <xdr:colOff>857250</xdr:colOff>
      <xdr:row>242</xdr:row>
      <xdr:rowOff>104776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324225" y="337661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247</xdr:row>
      <xdr:rowOff>104775</xdr:rowOff>
    </xdr:from>
    <xdr:to>
      <xdr:col>4</xdr:col>
      <xdr:colOff>857250</xdr:colOff>
      <xdr:row>247</xdr:row>
      <xdr:rowOff>104776</xdr:rowOff>
    </xdr:to>
    <xdr:cxnSp macro="">
      <xdr:nvCxnSpPr>
        <xdr:cNvPr id="13" name="Conector recto de flech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3324225" y="347281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248</xdr:row>
      <xdr:rowOff>114300</xdr:rowOff>
    </xdr:from>
    <xdr:to>
      <xdr:col>4</xdr:col>
      <xdr:colOff>857250</xdr:colOff>
      <xdr:row>248</xdr:row>
      <xdr:rowOff>114301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3324225" y="349281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249</xdr:row>
      <xdr:rowOff>104775</xdr:rowOff>
    </xdr:from>
    <xdr:to>
      <xdr:col>4</xdr:col>
      <xdr:colOff>857250</xdr:colOff>
      <xdr:row>249</xdr:row>
      <xdr:rowOff>104776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>
          <a:off x="3324225" y="351186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250</xdr:row>
      <xdr:rowOff>104775</xdr:rowOff>
    </xdr:from>
    <xdr:to>
      <xdr:col>4</xdr:col>
      <xdr:colOff>857250</xdr:colOff>
      <xdr:row>250</xdr:row>
      <xdr:rowOff>104776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>
          <a:off x="3324225" y="353187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257</xdr:row>
      <xdr:rowOff>104775</xdr:rowOff>
    </xdr:from>
    <xdr:to>
      <xdr:col>4</xdr:col>
      <xdr:colOff>857250</xdr:colOff>
      <xdr:row>257</xdr:row>
      <xdr:rowOff>104776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3324225" y="366712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258</xdr:row>
      <xdr:rowOff>104775</xdr:rowOff>
    </xdr:from>
    <xdr:to>
      <xdr:col>4</xdr:col>
      <xdr:colOff>857250</xdr:colOff>
      <xdr:row>258</xdr:row>
      <xdr:rowOff>104776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3324225" y="368712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262</xdr:row>
      <xdr:rowOff>104775</xdr:rowOff>
    </xdr:from>
    <xdr:to>
      <xdr:col>4</xdr:col>
      <xdr:colOff>857250</xdr:colOff>
      <xdr:row>262</xdr:row>
      <xdr:rowOff>104776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324225" y="378428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263</xdr:row>
      <xdr:rowOff>104775</xdr:rowOff>
    </xdr:from>
    <xdr:to>
      <xdr:col>4</xdr:col>
      <xdr:colOff>857250</xdr:colOff>
      <xdr:row>263</xdr:row>
      <xdr:rowOff>104776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3324225" y="38042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274</xdr:row>
      <xdr:rowOff>104775</xdr:rowOff>
    </xdr:from>
    <xdr:to>
      <xdr:col>4</xdr:col>
      <xdr:colOff>857250</xdr:colOff>
      <xdr:row>274</xdr:row>
      <xdr:rowOff>104776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3324225" y="40709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275</xdr:row>
      <xdr:rowOff>114300</xdr:rowOff>
    </xdr:from>
    <xdr:to>
      <xdr:col>4</xdr:col>
      <xdr:colOff>857250</xdr:colOff>
      <xdr:row>275</xdr:row>
      <xdr:rowOff>114301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>
          <a:off x="3324225" y="40909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276</xdr:row>
      <xdr:rowOff>104775</xdr:rowOff>
    </xdr:from>
    <xdr:to>
      <xdr:col>4</xdr:col>
      <xdr:colOff>857250</xdr:colOff>
      <xdr:row>276</xdr:row>
      <xdr:rowOff>104776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3324225" y="41090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281</xdr:row>
      <xdr:rowOff>104775</xdr:rowOff>
    </xdr:from>
    <xdr:to>
      <xdr:col>4</xdr:col>
      <xdr:colOff>857250</xdr:colOff>
      <xdr:row>281</xdr:row>
      <xdr:rowOff>104776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3324225" y="42233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282</xdr:row>
      <xdr:rowOff>114300</xdr:rowOff>
    </xdr:from>
    <xdr:to>
      <xdr:col>4</xdr:col>
      <xdr:colOff>857250</xdr:colOff>
      <xdr:row>282</xdr:row>
      <xdr:rowOff>114301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3324225" y="42433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283</xdr:row>
      <xdr:rowOff>104775</xdr:rowOff>
    </xdr:from>
    <xdr:to>
      <xdr:col>4</xdr:col>
      <xdr:colOff>857250</xdr:colOff>
      <xdr:row>283</xdr:row>
      <xdr:rowOff>104776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3324225" y="42614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284</xdr:row>
      <xdr:rowOff>104775</xdr:rowOff>
    </xdr:from>
    <xdr:to>
      <xdr:col>4</xdr:col>
      <xdr:colOff>857250</xdr:colOff>
      <xdr:row>284</xdr:row>
      <xdr:rowOff>104776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3324225" y="428053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293</xdr:row>
      <xdr:rowOff>104775</xdr:rowOff>
    </xdr:from>
    <xdr:to>
      <xdr:col>4</xdr:col>
      <xdr:colOff>857250</xdr:colOff>
      <xdr:row>293</xdr:row>
      <xdr:rowOff>104776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>
          <a:off x="3324225" y="46805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294</xdr:row>
      <xdr:rowOff>114300</xdr:rowOff>
    </xdr:from>
    <xdr:to>
      <xdr:col>4</xdr:col>
      <xdr:colOff>857250</xdr:colOff>
      <xdr:row>294</xdr:row>
      <xdr:rowOff>114301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>
          <a:off x="3324225" y="47005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295</xdr:row>
      <xdr:rowOff>104775</xdr:rowOff>
    </xdr:from>
    <xdr:to>
      <xdr:col>4</xdr:col>
      <xdr:colOff>857250</xdr:colOff>
      <xdr:row>295</xdr:row>
      <xdr:rowOff>104776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3324225" y="47186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296</xdr:row>
      <xdr:rowOff>104775</xdr:rowOff>
    </xdr:from>
    <xdr:to>
      <xdr:col>4</xdr:col>
      <xdr:colOff>857250</xdr:colOff>
      <xdr:row>296</xdr:row>
      <xdr:rowOff>104776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3324225" y="473773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244</xdr:row>
      <xdr:rowOff>152399</xdr:rowOff>
    </xdr:from>
    <xdr:to>
      <xdr:col>7</xdr:col>
      <xdr:colOff>457200</xdr:colOff>
      <xdr:row>251</xdr:row>
      <xdr:rowOff>123823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819150" y="46348649"/>
          <a:ext cx="4953000" cy="1333499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476250</xdr:colOff>
      <xdr:row>259</xdr:row>
      <xdr:rowOff>114299</xdr:rowOff>
    </xdr:from>
    <xdr:to>
      <xdr:col>7</xdr:col>
      <xdr:colOff>238126</xdr:colOff>
      <xdr:row>264</xdr:row>
      <xdr:rowOff>152399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028700" y="37280849"/>
          <a:ext cx="4505326" cy="11906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447675</xdr:colOff>
      <xdr:row>287</xdr:row>
      <xdr:rowOff>57150</xdr:rowOff>
    </xdr:from>
    <xdr:to>
      <xdr:col>7</xdr:col>
      <xdr:colOff>266700</xdr:colOff>
      <xdr:row>298</xdr:row>
      <xdr:rowOff>171450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000125" y="44662725"/>
          <a:ext cx="4562475" cy="335280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723900</xdr:colOff>
      <xdr:row>15</xdr:row>
      <xdr:rowOff>142875</xdr:rowOff>
    </xdr:from>
    <xdr:to>
      <xdr:col>7</xdr:col>
      <xdr:colOff>180975</xdr:colOff>
      <xdr:row>17</xdr:row>
      <xdr:rowOff>66675</xdr:rowOff>
    </xdr:to>
    <xdr:sp macro="" textlink="">
      <xdr:nvSpPr>
        <xdr:cNvPr id="37" name="Rectángulo redondead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2724150" y="3019425"/>
          <a:ext cx="27527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523875</xdr:colOff>
      <xdr:row>36</xdr:row>
      <xdr:rowOff>104775</xdr:rowOff>
    </xdr:from>
    <xdr:to>
      <xdr:col>4</xdr:col>
      <xdr:colOff>857250</xdr:colOff>
      <xdr:row>36</xdr:row>
      <xdr:rowOff>104776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3324225" y="66103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37</xdr:row>
      <xdr:rowOff>114300</xdr:rowOff>
    </xdr:from>
    <xdr:to>
      <xdr:col>4</xdr:col>
      <xdr:colOff>857250</xdr:colOff>
      <xdr:row>37</xdr:row>
      <xdr:rowOff>114301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>
          <a:off x="3324225" y="68199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38</xdr:row>
      <xdr:rowOff>104775</xdr:rowOff>
    </xdr:from>
    <xdr:to>
      <xdr:col>4</xdr:col>
      <xdr:colOff>857250</xdr:colOff>
      <xdr:row>38</xdr:row>
      <xdr:rowOff>104776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CxnSpPr/>
      </xdr:nvCxnSpPr>
      <xdr:spPr>
        <a:xfrm>
          <a:off x="3324225" y="7010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39</xdr:row>
      <xdr:rowOff>104775</xdr:rowOff>
    </xdr:from>
    <xdr:to>
      <xdr:col>4</xdr:col>
      <xdr:colOff>857250</xdr:colOff>
      <xdr:row>39</xdr:row>
      <xdr:rowOff>104776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CxnSpPr/>
      </xdr:nvCxnSpPr>
      <xdr:spPr>
        <a:xfrm>
          <a:off x="3324225" y="7210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106</xdr:row>
      <xdr:rowOff>114300</xdr:rowOff>
    </xdr:from>
    <xdr:to>
      <xdr:col>2</xdr:col>
      <xdr:colOff>276225</xdr:colOff>
      <xdr:row>106</xdr:row>
      <xdr:rowOff>114301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CxnSpPr/>
      </xdr:nvCxnSpPr>
      <xdr:spPr>
        <a:xfrm>
          <a:off x="1285875" y="15068550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207</xdr:row>
      <xdr:rowOff>123825</xdr:rowOff>
    </xdr:from>
    <xdr:to>
      <xdr:col>6</xdr:col>
      <xdr:colOff>57150</xdr:colOff>
      <xdr:row>207</xdr:row>
      <xdr:rowOff>123826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CxnSpPr/>
      </xdr:nvCxnSpPr>
      <xdr:spPr>
        <a:xfrm>
          <a:off x="4429125" y="27031950"/>
          <a:ext cx="2190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208</xdr:row>
      <xdr:rowOff>114300</xdr:rowOff>
    </xdr:from>
    <xdr:to>
      <xdr:col>6</xdr:col>
      <xdr:colOff>47625</xdr:colOff>
      <xdr:row>208</xdr:row>
      <xdr:rowOff>114301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4305300" y="27222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211</xdr:row>
      <xdr:rowOff>104775</xdr:rowOff>
    </xdr:from>
    <xdr:to>
      <xdr:col>5</xdr:col>
      <xdr:colOff>857250</xdr:colOff>
      <xdr:row>211</xdr:row>
      <xdr:rowOff>104776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CxnSpPr/>
      </xdr:nvCxnSpPr>
      <xdr:spPr>
        <a:xfrm>
          <a:off x="4219575" y="277939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212</xdr:row>
      <xdr:rowOff>104775</xdr:rowOff>
    </xdr:from>
    <xdr:to>
      <xdr:col>5</xdr:col>
      <xdr:colOff>857250</xdr:colOff>
      <xdr:row>212</xdr:row>
      <xdr:rowOff>104776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/>
      </xdr:nvCxnSpPr>
      <xdr:spPr>
        <a:xfrm>
          <a:off x="4219575" y="27984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213</xdr:row>
      <xdr:rowOff>104775</xdr:rowOff>
    </xdr:from>
    <xdr:to>
      <xdr:col>5</xdr:col>
      <xdr:colOff>857250</xdr:colOff>
      <xdr:row>213</xdr:row>
      <xdr:rowOff>104776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4219575" y="281749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495300</xdr:colOff>
      <xdr:row>346</xdr:row>
      <xdr:rowOff>28575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 txBox="1"/>
          </xdr:nvSpPr>
          <xdr:spPr>
            <a:xfrm>
              <a:off x="3295650" y="48644175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3295650" y="48644175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4</xdr:col>
      <xdr:colOff>476250</xdr:colOff>
      <xdr:row>345</xdr:row>
      <xdr:rowOff>161925</xdr:rowOff>
    </xdr:from>
    <xdr:to>
      <xdr:col>6</xdr:col>
      <xdr:colOff>628650</xdr:colOff>
      <xdr:row>348</xdr:row>
      <xdr:rowOff>38100</xdr:rowOff>
    </xdr:to>
    <xdr:sp macro="" textlink="">
      <xdr:nvSpPr>
        <xdr:cNvPr id="52" name="Rectángulo redondeado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3276600" y="48577500"/>
          <a:ext cx="1943100" cy="4572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349</xdr:row>
      <xdr:rowOff>104775</xdr:rowOff>
    </xdr:from>
    <xdr:to>
      <xdr:col>5</xdr:col>
      <xdr:colOff>228600</xdr:colOff>
      <xdr:row>349</xdr:row>
      <xdr:rowOff>104776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/>
      </xdr:nvCxnSpPr>
      <xdr:spPr>
        <a:xfrm>
          <a:off x="3590925" y="49291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270</xdr:row>
      <xdr:rowOff>104775</xdr:rowOff>
    </xdr:from>
    <xdr:to>
      <xdr:col>4</xdr:col>
      <xdr:colOff>857250</xdr:colOff>
      <xdr:row>270</xdr:row>
      <xdr:rowOff>104776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CxnSpPr/>
      </xdr:nvCxnSpPr>
      <xdr:spPr>
        <a:xfrm>
          <a:off x="3324225" y="39566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271</xdr:row>
      <xdr:rowOff>114300</xdr:rowOff>
    </xdr:from>
    <xdr:to>
      <xdr:col>4</xdr:col>
      <xdr:colOff>857250</xdr:colOff>
      <xdr:row>271</xdr:row>
      <xdr:rowOff>114301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>
          <a:off x="3324225" y="39766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234</xdr:row>
      <xdr:rowOff>104775</xdr:rowOff>
    </xdr:from>
    <xdr:to>
      <xdr:col>4</xdr:col>
      <xdr:colOff>142875</xdr:colOff>
      <xdr:row>234</xdr:row>
      <xdr:rowOff>104776</xdr:rowOff>
    </xdr:to>
    <xdr:cxnSp macro="">
      <xdr:nvCxnSpPr>
        <xdr:cNvPr id="56" name="Conector recto de flecha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/>
      </xdr:nvCxnSpPr>
      <xdr:spPr>
        <a:xfrm>
          <a:off x="2628900" y="32194500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95250</xdr:colOff>
      <xdr:row>231</xdr:row>
      <xdr:rowOff>152400</xdr:rowOff>
    </xdr:from>
    <xdr:to>
      <xdr:col>6</xdr:col>
      <xdr:colOff>609600</xdr:colOff>
      <xdr:row>235</xdr:row>
      <xdr:rowOff>114300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647700" y="43815000"/>
          <a:ext cx="4572000" cy="7334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885826</xdr:colOff>
      <xdr:row>201</xdr:row>
      <xdr:rowOff>47624</xdr:rowOff>
    </xdr:from>
    <xdr:to>
      <xdr:col>8</xdr:col>
      <xdr:colOff>9526</xdr:colOff>
      <xdr:row>203</xdr:row>
      <xdr:rowOff>171449</xdr:rowOff>
    </xdr:to>
    <xdr:sp macro="" textlink="">
      <xdr:nvSpPr>
        <xdr:cNvPr id="58" name="Rectángulo redondead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4581526" y="25812749"/>
          <a:ext cx="1447800" cy="5048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28576</xdr:colOff>
      <xdr:row>65</xdr:row>
      <xdr:rowOff>161924</xdr:rowOff>
    </xdr:from>
    <xdr:to>
      <xdr:col>7</xdr:col>
      <xdr:colOff>704850</xdr:colOff>
      <xdr:row>68</xdr:row>
      <xdr:rowOff>19049</xdr:rowOff>
    </xdr:to>
    <xdr:sp macro="" textlink="">
      <xdr:nvSpPr>
        <xdr:cNvPr id="59" name="Rectángulo redondead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3724276" y="10906124"/>
          <a:ext cx="2276474" cy="4286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457200</xdr:colOff>
      <xdr:row>68</xdr:row>
      <xdr:rowOff>19050</xdr:rowOff>
    </xdr:from>
    <xdr:to>
      <xdr:col>5</xdr:col>
      <xdr:colOff>457201</xdr:colOff>
      <xdr:row>68</xdr:row>
      <xdr:rowOff>180975</xdr:rowOff>
    </xdr:to>
    <xdr:cxnSp macro="">
      <xdr:nvCxnSpPr>
        <xdr:cNvPr id="60" name="Conector recto de flecha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>
          <a:off x="4152900" y="11334750"/>
          <a:ext cx="1" cy="1619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204</xdr:row>
      <xdr:rowOff>19050</xdr:rowOff>
    </xdr:from>
    <xdr:to>
      <xdr:col>8</xdr:col>
      <xdr:colOff>95250</xdr:colOff>
      <xdr:row>219</xdr:row>
      <xdr:rowOff>104775</xdr:rowOff>
    </xdr:to>
    <xdr:sp macro="" textlink="">
      <xdr:nvSpPr>
        <xdr:cNvPr id="61" name="Rectángulo redondead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9050" y="38871525"/>
          <a:ext cx="6115050" cy="297180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361950</xdr:colOff>
      <xdr:row>203</xdr:row>
      <xdr:rowOff>171450</xdr:rowOff>
    </xdr:from>
    <xdr:to>
      <xdr:col>6</xdr:col>
      <xdr:colOff>361950</xdr:colOff>
      <xdr:row>207</xdr:row>
      <xdr:rowOff>0</xdr:rowOff>
    </xdr:to>
    <xdr:cxnSp macro="">
      <xdr:nvCxnSpPr>
        <xdr:cNvPr id="62" name="Conector recto de flecha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>
          <a:off x="4953000" y="26317575"/>
          <a:ext cx="0" cy="5905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217</xdr:row>
      <xdr:rowOff>104775</xdr:rowOff>
    </xdr:from>
    <xdr:to>
      <xdr:col>5</xdr:col>
      <xdr:colOff>857250</xdr:colOff>
      <xdr:row>217</xdr:row>
      <xdr:rowOff>104776</xdr:rowOff>
    </xdr:to>
    <xdr:cxnSp macro="">
      <xdr:nvCxnSpPr>
        <xdr:cNvPr id="63" name="Conector recto de flecha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4219575" y="29127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214</xdr:row>
      <xdr:rowOff>104775</xdr:rowOff>
    </xdr:from>
    <xdr:to>
      <xdr:col>5</xdr:col>
      <xdr:colOff>857250</xdr:colOff>
      <xdr:row>214</xdr:row>
      <xdr:rowOff>104776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>
          <a:off x="4219575" y="28365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277</xdr:row>
      <xdr:rowOff>104775</xdr:rowOff>
    </xdr:from>
    <xdr:to>
      <xdr:col>4</xdr:col>
      <xdr:colOff>857250</xdr:colOff>
      <xdr:row>277</xdr:row>
      <xdr:rowOff>104776</xdr:rowOff>
    </xdr:to>
    <xdr:cxnSp macro="">
      <xdr:nvCxnSpPr>
        <xdr:cNvPr id="74" name="Conector recto de flecha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>
          <a:off x="3324225" y="412813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297</xdr:row>
      <xdr:rowOff>104775</xdr:rowOff>
    </xdr:from>
    <xdr:to>
      <xdr:col>4</xdr:col>
      <xdr:colOff>857250</xdr:colOff>
      <xdr:row>297</xdr:row>
      <xdr:rowOff>104776</xdr:rowOff>
    </xdr:to>
    <xdr:cxnSp macro="">
      <xdr:nvCxnSpPr>
        <xdr:cNvPr id="76" name="Conector recto de flecha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CxnSpPr/>
      </xdr:nvCxnSpPr>
      <xdr:spPr>
        <a:xfrm>
          <a:off x="3324225" y="477583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33</xdr:row>
      <xdr:rowOff>114300</xdr:rowOff>
    </xdr:from>
    <xdr:to>
      <xdr:col>6</xdr:col>
      <xdr:colOff>57150</xdr:colOff>
      <xdr:row>33</xdr:row>
      <xdr:rowOff>114300</xdr:rowOff>
    </xdr:to>
    <xdr:cxnSp macro="">
      <xdr:nvCxnSpPr>
        <xdr:cNvPr id="77" name="Conector recto de flecha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/>
      </xdr:nvCxnSpPr>
      <xdr:spPr>
        <a:xfrm flipH="1">
          <a:off x="4295775" y="6048375"/>
          <a:ext cx="352425" cy="0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847725</xdr:colOff>
      <xdr:row>47</xdr:row>
      <xdr:rowOff>1</xdr:rowOff>
    </xdr:from>
    <xdr:to>
      <xdr:col>8</xdr:col>
      <xdr:colOff>28575</xdr:colOff>
      <xdr:row>49</xdr:row>
      <xdr:rowOff>28576</xdr:rowOff>
    </xdr:to>
    <xdr:sp macro="" textlink="">
      <xdr:nvSpPr>
        <xdr:cNvPr id="78" name="Rectángulo redondead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4543425" y="9020176"/>
          <a:ext cx="1504950" cy="4191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561975</xdr:colOff>
      <xdr:row>48</xdr:row>
      <xdr:rowOff>38100</xdr:rowOff>
    </xdr:from>
    <xdr:to>
      <xdr:col>5</xdr:col>
      <xdr:colOff>857251</xdr:colOff>
      <xdr:row>48</xdr:row>
      <xdr:rowOff>42864</xdr:rowOff>
    </xdr:to>
    <xdr:cxnSp macro="">
      <xdr:nvCxnSpPr>
        <xdr:cNvPr id="79" name="Conector recto de flecha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CxnSpPr/>
      </xdr:nvCxnSpPr>
      <xdr:spPr>
        <a:xfrm flipH="1" flipV="1">
          <a:off x="4257675" y="8296275"/>
          <a:ext cx="295276" cy="4764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371475</xdr:colOff>
      <xdr:row>2</xdr:row>
      <xdr:rowOff>47625</xdr:rowOff>
    </xdr:from>
    <xdr:to>
      <xdr:col>5</xdr:col>
      <xdr:colOff>342685</xdr:colOff>
      <xdr:row>12</xdr:row>
      <xdr:rowOff>180975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28625"/>
          <a:ext cx="243818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638174</xdr:colOff>
      <xdr:row>88</xdr:row>
      <xdr:rowOff>161925</xdr:rowOff>
    </xdr:from>
    <xdr:to>
      <xdr:col>2</xdr:col>
      <xdr:colOff>19049</xdr:colOff>
      <xdr:row>99</xdr:row>
      <xdr:rowOff>152400</xdr:rowOff>
    </xdr:to>
    <xdr:sp macro="" textlink="">
      <xdr:nvSpPr>
        <xdr:cNvPr id="81" name="Abrir llav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1152524" y="1323975"/>
          <a:ext cx="142875" cy="20955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687705</xdr:colOff>
      <xdr:row>41</xdr:row>
      <xdr:rowOff>180974</xdr:rowOff>
    </xdr:from>
    <xdr:to>
      <xdr:col>2</xdr:col>
      <xdr:colOff>57150</xdr:colOff>
      <xdr:row>43</xdr:row>
      <xdr:rowOff>47625</xdr:rowOff>
    </xdr:to>
    <xdr:sp macro="" textlink="">
      <xdr:nvSpPr>
        <xdr:cNvPr id="82" name="Abrir llav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1240155" y="8058149"/>
          <a:ext cx="64770" cy="247651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687705</xdr:colOff>
      <xdr:row>100</xdr:row>
      <xdr:rowOff>180974</xdr:rowOff>
    </xdr:from>
    <xdr:to>
      <xdr:col>2</xdr:col>
      <xdr:colOff>57150</xdr:colOff>
      <xdr:row>102</xdr:row>
      <xdr:rowOff>47625</xdr:rowOff>
    </xdr:to>
    <xdr:sp macro="" textlink="">
      <xdr:nvSpPr>
        <xdr:cNvPr id="83" name="Abrir llav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1240155" y="8058149"/>
          <a:ext cx="64770" cy="247651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333375</xdr:colOff>
      <xdr:row>50</xdr:row>
      <xdr:rowOff>104775</xdr:rowOff>
    </xdr:from>
    <xdr:to>
      <xdr:col>1</xdr:col>
      <xdr:colOff>685800</xdr:colOff>
      <xdr:row>51</xdr:row>
      <xdr:rowOff>133351</xdr:rowOff>
    </xdr:to>
    <xdr:sp macro="" textlink="">
      <xdr:nvSpPr>
        <xdr:cNvPr id="84" name="Flecha derecha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847725" y="778192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152400</xdr:colOff>
      <xdr:row>136</xdr:row>
      <xdr:rowOff>28575</xdr:rowOff>
    </xdr:from>
    <xdr:to>
      <xdr:col>5</xdr:col>
      <xdr:colOff>157162</xdr:colOff>
      <xdr:row>136</xdr:row>
      <xdr:rowOff>180975</xdr:rowOff>
    </xdr:to>
    <xdr:cxnSp macro="">
      <xdr:nvCxnSpPr>
        <xdr:cNvPr id="85" name="Conector recto de flecha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CxnSpPr>
          <a:stCxn id="86" idx="2"/>
        </xdr:cNvCxnSpPr>
      </xdr:nvCxnSpPr>
      <xdr:spPr>
        <a:xfrm flipH="1">
          <a:off x="3924300" y="12134850"/>
          <a:ext cx="4762" cy="15240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134</xdr:row>
      <xdr:rowOff>200024</xdr:rowOff>
    </xdr:from>
    <xdr:to>
      <xdr:col>6</xdr:col>
      <xdr:colOff>295274</xdr:colOff>
      <xdr:row>136</xdr:row>
      <xdr:rowOff>28575</xdr:rowOff>
    </xdr:to>
    <xdr:sp macro="" textlink="">
      <xdr:nvSpPr>
        <xdr:cNvPr id="86" name="Rectángulo redondeado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14650" y="11906249"/>
          <a:ext cx="2047874" cy="22860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160</xdr:row>
      <xdr:rowOff>104775</xdr:rowOff>
    </xdr:from>
    <xdr:to>
      <xdr:col>5</xdr:col>
      <xdr:colOff>219075</xdr:colOff>
      <xdr:row>160</xdr:row>
      <xdr:rowOff>104776</xdr:rowOff>
    </xdr:to>
    <xdr:cxnSp macro="">
      <xdr:nvCxnSpPr>
        <xdr:cNvPr id="87" name="Conector recto de flecha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CxnSpPr/>
      </xdr:nvCxnSpPr>
      <xdr:spPr>
        <a:xfrm flipH="1">
          <a:off x="3781427" y="1414462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160</xdr:row>
      <xdr:rowOff>0</xdr:rowOff>
    </xdr:from>
    <xdr:to>
      <xdr:col>1</xdr:col>
      <xdr:colOff>38100</xdr:colOff>
      <xdr:row>161</xdr:row>
      <xdr:rowOff>28576</xdr:rowOff>
    </xdr:to>
    <xdr:sp macro="" textlink="">
      <xdr:nvSpPr>
        <xdr:cNvPr id="88" name="Flecha derecha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200025" y="28174950"/>
          <a:ext cx="3905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457200</xdr:colOff>
      <xdr:row>132</xdr:row>
      <xdr:rowOff>142875</xdr:rowOff>
    </xdr:from>
    <xdr:to>
      <xdr:col>6</xdr:col>
      <xdr:colOff>666750</xdr:colOff>
      <xdr:row>134</xdr:row>
      <xdr:rowOff>57150</xdr:rowOff>
    </xdr:to>
    <xdr:sp macro="" textlink="">
      <xdr:nvSpPr>
        <xdr:cNvPr id="90" name="Rectángulo redondeado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2581275" y="11458575"/>
          <a:ext cx="27527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19051</xdr:colOff>
      <xdr:row>194</xdr:row>
      <xdr:rowOff>95250</xdr:rowOff>
    </xdr:from>
    <xdr:to>
      <xdr:col>4</xdr:col>
      <xdr:colOff>219075</xdr:colOff>
      <xdr:row>194</xdr:row>
      <xdr:rowOff>95251</xdr:rowOff>
    </xdr:to>
    <xdr:cxnSp macro="">
      <xdr:nvCxnSpPr>
        <xdr:cNvPr id="91" name="Conector recto de flecha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CxnSpPr/>
      </xdr:nvCxnSpPr>
      <xdr:spPr>
        <a:xfrm flipH="1">
          <a:off x="2819401" y="36280725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192</xdr:row>
      <xdr:rowOff>104775</xdr:rowOff>
    </xdr:from>
    <xdr:to>
      <xdr:col>4</xdr:col>
      <xdr:colOff>352425</xdr:colOff>
      <xdr:row>192</xdr:row>
      <xdr:rowOff>104776</xdr:rowOff>
    </xdr:to>
    <xdr:cxnSp macro="">
      <xdr:nvCxnSpPr>
        <xdr:cNvPr id="92" name="Conector recto de flecha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 flipV="1">
          <a:off x="2962275" y="2024062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194</xdr:row>
      <xdr:rowOff>0</xdr:rowOff>
    </xdr:from>
    <xdr:to>
      <xdr:col>1</xdr:col>
      <xdr:colOff>0</xdr:colOff>
      <xdr:row>195</xdr:row>
      <xdr:rowOff>28576</xdr:rowOff>
    </xdr:to>
    <xdr:sp macro="" textlink="">
      <xdr:nvSpPr>
        <xdr:cNvPr id="93" name="Flecha derecha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161925" y="36185475"/>
          <a:ext cx="3905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828675</xdr:colOff>
      <xdr:row>201</xdr:row>
      <xdr:rowOff>104775</xdr:rowOff>
    </xdr:from>
    <xdr:to>
      <xdr:col>5</xdr:col>
      <xdr:colOff>857250</xdr:colOff>
      <xdr:row>203</xdr:row>
      <xdr:rowOff>114300</xdr:rowOff>
    </xdr:to>
    <xdr:sp macro="" textlink="">
      <xdr:nvSpPr>
        <xdr:cNvPr id="95" name="Flecha derecha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3629025" y="38576250"/>
          <a:ext cx="923925" cy="3905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752475</xdr:colOff>
      <xdr:row>310</xdr:row>
      <xdr:rowOff>114300</xdr:rowOff>
    </xdr:from>
    <xdr:to>
      <xdr:col>5</xdr:col>
      <xdr:colOff>219075</xdr:colOff>
      <xdr:row>310</xdr:row>
      <xdr:rowOff>114301</xdr:rowOff>
    </xdr:to>
    <xdr:cxnSp macro="">
      <xdr:nvCxnSpPr>
        <xdr:cNvPr id="94" name="Conector recto de flecha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CxnSpPr/>
      </xdr:nvCxnSpPr>
      <xdr:spPr>
        <a:xfrm>
          <a:off x="3571875" y="49987200"/>
          <a:ext cx="3619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307</xdr:row>
      <xdr:rowOff>95250</xdr:rowOff>
    </xdr:from>
    <xdr:to>
      <xdr:col>7</xdr:col>
      <xdr:colOff>542925</xdr:colOff>
      <xdr:row>311</xdr:row>
      <xdr:rowOff>152400</xdr:rowOff>
    </xdr:to>
    <xdr:sp macro="" textlink="">
      <xdr:nvSpPr>
        <xdr:cNvPr id="96" name="Rectángulo redondead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904875" y="49396650"/>
          <a:ext cx="4953000" cy="8286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733425</xdr:colOff>
      <xdr:row>316</xdr:row>
      <xdr:rowOff>152399</xdr:rowOff>
    </xdr:from>
    <xdr:to>
      <xdr:col>4</xdr:col>
      <xdr:colOff>838200</xdr:colOff>
      <xdr:row>320</xdr:row>
      <xdr:rowOff>47624</xdr:rowOff>
    </xdr:to>
    <xdr:sp macro="" textlink="">
      <xdr:nvSpPr>
        <xdr:cNvPr id="98" name="Abrir llav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3514725" y="21135974"/>
          <a:ext cx="104775" cy="6858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</xdr:colOff>
      <xdr:row>318</xdr:row>
      <xdr:rowOff>114300</xdr:rowOff>
    </xdr:from>
    <xdr:to>
      <xdr:col>4</xdr:col>
      <xdr:colOff>238125</xdr:colOff>
      <xdr:row>318</xdr:row>
      <xdr:rowOff>114300</xdr:rowOff>
    </xdr:to>
    <xdr:cxnSp macro="">
      <xdr:nvCxnSpPr>
        <xdr:cNvPr id="99" name="Conector recto de flecha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CxnSpPr/>
      </xdr:nvCxnSpPr>
      <xdr:spPr>
        <a:xfrm>
          <a:off x="2800350" y="21488400"/>
          <a:ext cx="21907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657225</xdr:colOff>
      <xdr:row>321</xdr:row>
      <xdr:rowOff>123825</xdr:rowOff>
    </xdr:from>
    <xdr:to>
      <xdr:col>5</xdr:col>
      <xdr:colOff>76200</xdr:colOff>
      <xdr:row>321</xdr:row>
      <xdr:rowOff>123825</xdr:rowOff>
    </xdr:to>
    <xdr:cxnSp macro="">
      <xdr:nvCxnSpPr>
        <xdr:cNvPr id="100" name="Conector recto de flecha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CxnSpPr/>
      </xdr:nvCxnSpPr>
      <xdr:spPr>
        <a:xfrm>
          <a:off x="3438525" y="22088475"/>
          <a:ext cx="3143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325</xdr:row>
      <xdr:rowOff>85725</xdr:rowOff>
    </xdr:from>
    <xdr:to>
      <xdr:col>4</xdr:col>
      <xdr:colOff>542925</xdr:colOff>
      <xdr:row>325</xdr:row>
      <xdr:rowOff>85725</xdr:rowOff>
    </xdr:to>
    <xdr:cxnSp macro="">
      <xdr:nvCxnSpPr>
        <xdr:cNvPr id="101" name="Conector recto de flecha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CxnSpPr/>
      </xdr:nvCxnSpPr>
      <xdr:spPr>
        <a:xfrm>
          <a:off x="2324100" y="228314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326</xdr:row>
      <xdr:rowOff>95250</xdr:rowOff>
    </xdr:from>
    <xdr:to>
      <xdr:col>4</xdr:col>
      <xdr:colOff>542925</xdr:colOff>
      <xdr:row>326</xdr:row>
      <xdr:rowOff>95250</xdr:rowOff>
    </xdr:to>
    <xdr:cxnSp macro="">
      <xdr:nvCxnSpPr>
        <xdr:cNvPr id="102" name="Conector recto de flecha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CxnSpPr/>
      </xdr:nvCxnSpPr>
      <xdr:spPr>
        <a:xfrm>
          <a:off x="2324100" y="230409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327</xdr:row>
      <xdr:rowOff>95250</xdr:rowOff>
    </xdr:from>
    <xdr:to>
      <xdr:col>4</xdr:col>
      <xdr:colOff>552450</xdr:colOff>
      <xdr:row>327</xdr:row>
      <xdr:rowOff>95250</xdr:rowOff>
    </xdr:to>
    <xdr:cxnSp macro="">
      <xdr:nvCxnSpPr>
        <xdr:cNvPr id="103" name="Conector recto de flecha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CxnSpPr/>
      </xdr:nvCxnSpPr>
      <xdr:spPr>
        <a:xfrm>
          <a:off x="2333625" y="232410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331</xdr:row>
      <xdr:rowOff>85725</xdr:rowOff>
    </xdr:from>
    <xdr:to>
      <xdr:col>4</xdr:col>
      <xdr:colOff>542925</xdr:colOff>
      <xdr:row>331</xdr:row>
      <xdr:rowOff>85725</xdr:rowOff>
    </xdr:to>
    <xdr:cxnSp macro="">
      <xdr:nvCxnSpPr>
        <xdr:cNvPr id="104" name="Conector recto de flecha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CxnSpPr/>
      </xdr:nvCxnSpPr>
      <xdr:spPr>
        <a:xfrm>
          <a:off x="2324100" y="240125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332</xdr:row>
      <xdr:rowOff>95250</xdr:rowOff>
    </xdr:from>
    <xdr:to>
      <xdr:col>4</xdr:col>
      <xdr:colOff>542925</xdr:colOff>
      <xdr:row>332</xdr:row>
      <xdr:rowOff>95250</xdr:rowOff>
    </xdr:to>
    <xdr:cxnSp macro="">
      <xdr:nvCxnSpPr>
        <xdr:cNvPr id="105" name="Conector recto de flecha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CxnSpPr/>
      </xdr:nvCxnSpPr>
      <xdr:spPr>
        <a:xfrm>
          <a:off x="2324100" y="242220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333</xdr:row>
      <xdr:rowOff>95250</xdr:rowOff>
    </xdr:from>
    <xdr:to>
      <xdr:col>4</xdr:col>
      <xdr:colOff>552450</xdr:colOff>
      <xdr:row>333</xdr:row>
      <xdr:rowOff>95250</xdr:rowOff>
    </xdr:to>
    <xdr:cxnSp macro="">
      <xdr:nvCxnSpPr>
        <xdr:cNvPr id="106" name="Conector recto de flecha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/>
      </xdr:nvCxnSpPr>
      <xdr:spPr>
        <a:xfrm>
          <a:off x="2333625" y="24422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339</xdr:row>
      <xdr:rowOff>85725</xdr:rowOff>
    </xdr:from>
    <xdr:to>
      <xdr:col>4</xdr:col>
      <xdr:colOff>542925</xdr:colOff>
      <xdr:row>339</xdr:row>
      <xdr:rowOff>85725</xdr:rowOff>
    </xdr:to>
    <xdr:cxnSp macro="">
      <xdr:nvCxnSpPr>
        <xdr:cNvPr id="108" name="Conector recto de flecha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CxnSpPr/>
      </xdr:nvCxnSpPr>
      <xdr:spPr>
        <a:xfrm>
          <a:off x="2324100" y="25565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340</xdr:row>
      <xdr:rowOff>95250</xdr:rowOff>
    </xdr:from>
    <xdr:to>
      <xdr:col>4</xdr:col>
      <xdr:colOff>542925</xdr:colOff>
      <xdr:row>340</xdr:row>
      <xdr:rowOff>95250</xdr:rowOff>
    </xdr:to>
    <xdr:cxnSp macro="">
      <xdr:nvCxnSpPr>
        <xdr:cNvPr id="109" name="Conector recto de flecha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CxnSpPr/>
      </xdr:nvCxnSpPr>
      <xdr:spPr>
        <a:xfrm>
          <a:off x="2324100" y="257651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341</xdr:row>
      <xdr:rowOff>95250</xdr:rowOff>
    </xdr:from>
    <xdr:to>
      <xdr:col>4</xdr:col>
      <xdr:colOff>552450</xdr:colOff>
      <xdr:row>341</xdr:row>
      <xdr:rowOff>95250</xdr:rowOff>
    </xdr:to>
    <xdr:cxnSp macro="">
      <xdr:nvCxnSpPr>
        <xdr:cNvPr id="110" name="Conector recto de flecha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CxnSpPr/>
      </xdr:nvCxnSpPr>
      <xdr:spPr>
        <a:xfrm>
          <a:off x="2333625" y="259651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628649</xdr:colOff>
      <xdr:row>336</xdr:row>
      <xdr:rowOff>104775</xdr:rowOff>
    </xdr:from>
    <xdr:to>
      <xdr:col>8</xdr:col>
      <xdr:colOff>457198</xdr:colOff>
      <xdr:row>342</xdr:row>
      <xdr:rowOff>152400</xdr:rowOff>
    </xdr:to>
    <xdr:sp macro="" textlink="">
      <xdr:nvSpPr>
        <xdr:cNvPr id="111" name="Rectángulo redondeado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xfrm>
          <a:off x="1181099" y="55064025"/>
          <a:ext cx="5314949" cy="12096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0</xdr:colOff>
      <xdr:row>52</xdr:row>
      <xdr:rowOff>0</xdr:rowOff>
    </xdr:from>
    <xdr:to>
      <xdr:col>4</xdr:col>
      <xdr:colOff>0</xdr:colOff>
      <xdr:row>53</xdr:row>
      <xdr:rowOff>47625</xdr:rowOff>
    </xdr:to>
    <xdr:cxnSp macro="">
      <xdr:nvCxnSpPr>
        <xdr:cNvPr id="97" name="Conector recto de flecha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CxnSpPr/>
      </xdr:nvCxnSpPr>
      <xdr:spPr>
        <a:xfrm>
          <a:off x="2819400" y="9982200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419101</xdr:colOff>
      <xdr:row>416</xdr:row>
      <xdr:rowOff>142875</xdr:rowOff>
    </xdr:from>
    <xdr:to>
      <xdr:col>5</xdr:col>
      <xdr:colOff>228600</xdr:colOff>
      <xdr:row>419</xdr:row>
      <xdr:rowOff>85725</xdr:rowOff>
    </xdr:to>
    <xdr:sp macro="" textlink="">
      <xdr:nvSpPr>
        <xdr:cNvPr id="107" name="Rectángulo redondeado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1666876" y="80819625"/>
          <a:ext cx="227647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500</xdr:row>
      <xdr:rowOff>142875</xdr:rowOff>
    </xdr:from>
    <xdr:to>
      <xdr:col>5</xdr:col>
      <xdr:colOff>228600</xdr:colOff>
      <xdr:row>503</xdr:row>
      <xdr:rowOff>85725</xdr:rowOff>
    </xdr:to>
    <xdr:sp macro="" textlink="">
      <xdr:nvSpPr>
        <xdr:cNvPr id="112" name="Rectángulo redondeado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1666876" y="81019650"/>
          <a:ext cx="227647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525</xdr:row>
      <xdr:rowOff>0</xdr:rowOff>
    </xdr:from>
    <xdr:to>
      <xdr:col>5</xdr:col>
      <xdr:colOff>228600</xdr:colOff>
      <xdr:row>527</xdr:row>
      <xdr:rowOff>85725</xdr:rowOff>
    </xdr:to>
    <xdr:sp macro="" textlink="">
      <xdr:nvSpPr>
        <xdr:cNvPr id="113" name="Rectángulo redondeado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1666876" y="97374075"/>
          <a:ext cx="227647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554</xdr:row>
      <xdr:rowOff>142875</xdr:rowOff>
    </xdr:from>
    <xdr:to>
      <xdr:col>5</xdr:col>
      <xdr:colOff>228600</xdr:colOff>
      <xdr:row>557</xdr:row>
      <xdr:rowOff>85725</xdr:rowOff>
    </xdr:to>
    <xdr:sp macro="" textlink="">
      <xdr:nvSpPr>
        <xdr:cNvPr id="114" name="Rectángulo redondeado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1666876" y="102374700"/>
          <a:ext cx="227647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638174</xdr:colOff>
      <xdr:row>19</xdr:row>
      <xdr:rowOff>161925</xdr:rowOff>
    </xdr:from>
    <xdr:to>
      <xdr:col>2</xdr:col>
      <xdr:colOff>19049</xdr:colOff>
      <xdr:row>29</xdr:row>
      <xdr:rowOff>152400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152524" y="1323975"/>
          <a:ext cx="142875" cy="20955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742949</xdr:colOff>
      <xdr:row>31</xdr:row>
      <xdr:rowOff>123825</xdr:rowOff>
    </xdr:from>
    <xdr:to>
      <xdr:col>2</xdr:col>
      <xdr:colOff>57150</xdr:colOff>
      <xdr:row>33</xdr:row>
      <xdr:rowOff>66675</xdr:rowOff>
    </xdr:to>
    <xdr:sp macro="" textlink="">
      <xdr:nvSpPr>
        <xdr:cNvPr id="5" name="Abrir llav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257299" y="3590925"/>
          <a:ext cx="76201" cy="3238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171450</xdr:colOff>
      <xdr:row>47</xdr:row>
      <xdr:rowOff>114300</xdr:rowOff>
    </xdr:from>
    <xdr:to>
      <xdr:col>2</xdr:col>
      <xdr:colOff>409575</xdr:colOff>
      <xdr:row>47</xdr:row>
      <xdr:rowOff>114301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447800" y="7019925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28576</xdr:colOff>
      <xdr:row>120</xdr:row>
      <xdr:rowOff>19050</xdr:rowOff>
    </xdr:from>
    <xdr:to>
      <xdr:col>7</xdr:col>
      <xdr:colOff>733425</xdr:colOff>
      <xdr:row>122</xdr:row>
      <xdr:rowOff>180974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81526" y="13458825"/>
          <a:ext cx="1409699" cy="542924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352425</xdr:colOff>
      <xdr:row>122</xdr:row>
      <xdr:rowOff>180975</xdr:rowOff>
    </xdr:from>
    <xdr:to>
      <xdr:col>6</xdr:col>
      <xdr:colOff>352425</xdr:colOff>
      <xdr:row>126</xdr:row>
      <xdr:rowOff>9525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5000625" y="19935825"/>
          <a:ext cx="0" cy="5905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126</xdr:row>
      <xdr:rowOff>9524</xdr:rowOff>
    </xdr:from>
    <xdr:to>
      <xdr:col>2</xdr:col>
      <xdr:colOff>66675</xdr:colOff>
      <xdr:row>127</xdr:row>
      <xdr:rowOff>0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38250" y="14592299"/>
          <a:ext cx="104775" cy="390526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28573</xdr:colOff>
      <xdr:row>123</xdr:row>
      <xdr:rowOff>47625</xdr:rowOff>
    </xdr:from>
    <xdr:to>
      <xdr:col>7</xdr:col>
      <xdr:colOff>742949</xdr:colOff>
      <xdr:row>127</xdr:row>
      <xdr:rowOff>133350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8573" y="19992975"/>
          <a:ext cx="6134101" cy="85725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136</xdr:row>
      <xdr:rowOff>104775</xdr:rowOff>
    </xdr:from>
    <xdr:to>
      <xdr:col>5</xdr:col>
      <xdr:colOff>180975</xdr:colOff>
      <xdr:row>136</xdr:row>
      <xdr:rowOff>104776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3714750" y="22555200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133</xdr:row>
      <xdr:rowOff>104775</xdr:rowOff>
    </xdr:from>
    <xdr:to>
      <xdr:col>7</xdr:col>
      <xdr:colOff>228599</xdr:colOff>
      <xdr:row>137</xdr:row>
      <xdr:rowOff>152400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52425" y="21983700"/>
          <a:ext cx="5295899" cy="81915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809626</xdr:colOff>
      <xdr:row>142</xdr:row>
      <xdr:rowOff>171449</xdr:rowOff>
    </xdr:from>
    <xdr:to>
      <xdr:col>5</xdr:col>
      <xdr:colOff>7620</xdr:colOff>
      <xdr:row>147</xdr:row>
      <xdr:rowOff>28575</xdr:rowOff>
    </xdr:to>
    <xdr:sp macro="" textlink="">
      <xdr:nvSpPr>
        <xdr:cNvPr id="15" name="Abrir llav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733801" y="23783924"/>
          <a:ext cx="45719" cy="647701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523875</xdr:colOff>
      <xdr:row>144</xdr:row>
      <xdr:rowOff>114300</xdr:rowOff>
    </xdr:from>
    <xdr:to>
      <xdr:col>3</xdr:col>
      <xdr:colOff>742950</xdr:colOff>
      <xdr:row>144</xdr:row>
      <xdr:rowOff>114300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2647950" y="24117300"/>
          <a:ext cx="21907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151</xdr:row>
      <xdr:rowOff>85725</xdr:rowOff>
    </xdr:from>
    <xdr:to>
      <xdr:col>3</xdr:col>
      <xdr:colOff>542925</xdr:colOff>
      <xdr:row>151</xdr:row>
      <xdr:rowOff>85725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2324100" y="228314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152</xdr:row>
      <xdr:rowOff>95250</xdr:rowOff>
    </xdr:from>
    <xdr:to>
      <xdr:col>3</xdr:col>
      <xdr:colOff>542925</xdr:colOff>
      <xdr:row>152</xdr:row>
      <xdr:rowOff>95250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2324100" y="230409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154</xdr:row>
      <xdr:rowOff>95250</xdr:rowOff>
    </xdr:from>
    <xdr:to>
      <xdr:col>3</xdr:col>
      <xdr:colOff>552450</xdr:colOff>
      <xdr:row>154</xdr:row>
      <xdr:rowOff>95250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2333625" y="232410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158</xdr:row>
      <xdr:rowOff>85725</xdr:rowOff>
    </xdr:from>
    <xdr:to>
      <xdr:col>3</xdr:col>
      <xdr:colOff>542925</xdr:colOff>
      <xdr:row>158</xdr:row>
      <xdr:rowOff>85725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2324100" y="240125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159</xdr:row>
      <xdr:rowOff>95250</xdr:rowOff>
    </xdr:from>
    <xdr:to>
      <xdr:col>3</xdr:col>
      <xdr:colOff>542925</xdr:colOff>
      <xdr:row>159</xdr:row>
      <xdr:rowOff>95250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2324100" y="242220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161</xdr:row>
      <xdr:rowOff>95250</xdr:rowOff>
    </xdr:from>
    <xdr:to>
      <xdr:col>3</xdr:col>
      <xdr:colOff>552450</xdr:colOff>
      <xdr:row>161</xdr:row>
      <xdr:rowOff>95250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2333625" y="24422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167</xdr:row>
      <xdr:rowOff>85725</xdr:rowOff>
    </xdr:from>
    <xdr:to>
      <xdr:col>3</xdr:col>
      <xdr:colOff>542925</xdr:colOff>
      <xdr:row>167</xdr:row>
      <xdr:rowOff>85725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2324100" y="25565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168</xdr:row>
      <xdr:rowOff>95250</xdr:rowOff>
    </xdr:from>
    <xdr:to>
      <xdr:col>3</xdr:col>
      <xdr:colOff>542925</xdr:colOff>
      <xdr:row>168</xdr:row>
      <xdr:rowOff>95250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>
          <a:off x="2324100" y="257651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170</xdr:row>
      <xdr:rowOff>95250</xdr:rowOff>
    </xdr:from>
    <xdr:to>
      <xdr:col>3</xdr:col>
      <xdr:colOff>552450</xdr:colOff>
      <xdr:row>170</xdr:row>
      <xdr:rowOff>95250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2333625" y="259651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209551</xdr:colOff>
      <xdr:row>164</xdr:row>
      <xdr:rowOff>104775</xdr:rowOff>
    </xdr:from>
    <xdr:to>
      <xdr:col>7</xdr:col>
      <xdr:colOff>552450</xdr:colOff>
      <xdr:row>171</xdr:row>
      <xdr:rowOff>152400</xdr:rowOff>
    </xdr:to>
    <xdr:sp macro="" textlink="">
      <xdr:nvSpPr>
        <xdr:cNvPr id="28" name="Rectángulo redondeado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09551" y="28032075"/>
          <a:ext cx="5762624" cy="120967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200025</xdr:colOff>
      <xdr:row>176</xdr:row>
      <xdr:rowOff>33337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 txBox="1"/>
          </xdr:nvSpPr>
          <xdr:spPr>
            <a:xfrm>
              <a:off x="2981325" y="331041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43" name="CuadroTexto 42"/>
            <xdr:cNvSpPr txBox="1"/>
          </xdr:nvSpPr>
          <xdr:spPr>
            <a:xfrm>
              <a:off x="2981325" y="331041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5</xdr:col>
      <xdr:colOff>66675</xdr:colOff>
      <xdr:row>179</xdr:row>
      <xdr:rowOff>104775</xdr:rowOff>
    </xdr:from>
    <xdr:to>
      <xdr:col>5</xdr:col>
      <xdr:colOff>371475</xdr:colOff>
      <xdr:row>179</xdr:row>
      <xdr:rowOff>104776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/>
      </xdr:nvCxnSpPr>
      <xdr:spPr>
        <a:xfrm>
          <a:off x="3743325" y="33747075"/>
          <a:ext cx="30480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647701</xdr:colOff>
      <xdr:row>36</xdr:row>
      <xdr:rowOff>171451</xdr:rowOff>
    </xdr:from>
    <xdr:to>
      <xdr:col>2</xdr:col>
      <xdr:colOff>38100</xdr:colOff>
      <xdr:row>39</xdr:row>
      <xdr:rowOff>38100</xdr:rowOff>
    </xdr:to>
    <xdr:sp macro="" textlink="">
      <xdr:nvSpPr>
        <xdr:cNvPr id="46" name="Abrir llav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200151" y="6134101"/>
          <a:ext cx="85724" cy="4476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152400</xdr:colOff>
      <xdr:row>65</xdr:row>
      <xdr:rowOff>28575</xdr:rowOff>
    </xdr:from>
    <xdr:to>
      <xdr:col>5</xdr:col>
      <xdr:colOff>157162</xdr:colOff>
      <xdr:row>65</xdr:row>
      <xdr:rowOff>180975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stCxn id="47" idx="2"/>
        </xdr:cNvCxnSpPr>
      </xdr:nvCxnSpPr>
      <xdr:spPr>
        <a:xfrm flipH="1">
          <a:off x="3924300" y="9467850"/>
          <a:ext cx="4762" cy="15240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63</xdr:row>
      <xdr:rowOff>200024</xdr:rowOff>
    </xdr:from>
    <xdr:to>
      <xdr:col>6</xdr:col>
      <xdr:colOff>295274</xdr:colOff>
      <xdr:row>65</xdr:row>
      <xdr:rowOff>28575</xdr:rowOff>
    </xdr:to>
    <xdr:sp macro="" textlink="">
      <xdr:nvSpPr>
        <xdr:cNvPr id="47" name="Rectángulo redondeado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2914650" y="9239249"/>
          <a:ext cx="2028824" cy="22860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80</xdr:row>
      <xdr:rowOff>104775</xdr:rowOff>
    </xdr:from>
    <xdr:to>
      <xdr:col>5</xdr:col>
      <xdr:colOff>219075</xdr:colOff>
      <xdr:row>80</xdr:row>
      <xdr:rowOff>104776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CxnSpPr/>
      </xdr:nvCxnSpPr>
      <xdr:spPr>
        <a:xfrm flipH="1">
          <a:off x="3781427" y="1109662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19051</xdr:colOff>
      <xdr:row>114</xdr:row>
      <xdr:rowOff>95251</xdr:rowOff>
    </xdr:from>
    <xdr:to>
      <xdr:col>4</xdr:col>
      <xdr:colOff>161925</xdr:colOff>
      <xdr:row>114</xdr:row>
      <xdr:rowOff>104775</xdr:rowOff>
    </xdr:to>
    <xdr:cxnSp macro="">
      <xdr:nvCxnSpPr>
        <xdr:cNvPr id="56" name="Conector recto de flecha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H="1" flipV="1">
          <a:off x="2943226" y="17564101"/>
          <a:ext cx="142874" cy="952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112</xdr:row>
      <xdr:rowOff>104775</xdr:rowOff>
    </xdr:from>
    <xdr:to>
      <xdr:col>4</xdr:col>
      <xdr:colOff>352425</xdr:colOff>
      <xdr:row>112</xdr:row>
      <xdr:rowOff>104776</xdr:rowOff>
    </xdr:to>
    <xdr:cxnSp macro="">
      <xdr:nvCxnSpPr>
        <xdr:cNvPr id="58" name="Conector recto de flecha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CxnSpPr/>
      </xdr:nvCxnSpPr>
      <xdr:spPr>
        <a:xfrm flipV="1">
          <a:off x="2962275" y="1700212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153</xdr:row>
      <xdr:rowOff>95250</xdr:rowOff>
    </xdr:from>
    <xdr:to>
      <xdr:col>3</xdr:col>
      <xdr:colOff>552450</xdr:colOff>
      <xdr:row>153</xdr:row>
      <xdr:rowOff>95250</xdr:rowOff>
    </xdr:to>
    <xdr:cxnSp macro="">
      <xdr:nvCxnSpPr>
        <xdr:cNvPr id="79" name="Conector recto de flecha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CxnSpPr/>
      </xdr:nvCxnSpPr>
      <xdr:spPr>
        <a:xfrm>
          <a:off x="2390775" y="258699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160</xdr:row>
      <xdr:rowOff>95250</xdr:rowOff>
    </xdr:from>
    <xdr:to>
      <xdr:col>3</xdr:col>
      <xdr:colOff>542925</xdr:colOff>
      <xdr:row>160</xdr:row>
      <xdr:rowOff>95250</xdr:rowOff>
    </xdr:to>
    <xdr:cxnSp macro="">
      <xdr:nvCxnSpPr>
        <xdr:cNvPr id="80" name="Conector recto de flecha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>
          <a:off x="2381250" y="270510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169</xdr:row>
      <xdr:rowOff>95250</xdr:rowOff>
    </xdr:from>
    <xdr:to>
      <xdr:col>3</xdr:col>
      <xdr:colOff>542925</xdr:colOff>
      <xdr:row>169</xdr:row>
      <xdr:rowOff>95250</xdr:rowOff>
    </xdr:to>
    <xdr:cxnSp macro="">
      <xdr:nvCxnSpPr>
        <xdr:cNvPr id="81" name="Conector recto de flecha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CxnSpPr/>
      </xdr:nvCxnSpPr>
      <xdr:spPr>
        <a:xfrm>
          <a:off x="2381250" y="272510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514351</xdr:colOff>
      <xdr:row>205</xdr:row>
      <xdr:rowOff>142875</xdr:rowOff>
    </xdr:from>
    <xdr:to>
      <xdr:col>5</xdr:col>
      <xdr:colOff>228601</xdr:colOff>
      <xdr:row>208</xdr:row>
      <xdr:rowOff>85725</xdr:rowOff>
    </xdr:to>
    <xdr:sp macro="" textlink="">
      <xdr:nvSpPr>
        <xdr:cNvPr id="84" name="Rectángulo redondeado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1790701" y="36499800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514351</xdr:colOff>
      <xdr:row>235</xdr:row>
      <xdr:rowOff>142875</xdr:rowOff>
    </xdr:from>
    <xdr:to>
      <xdr:col>5</xdr:col>
      <xdr:colOff>228601</xdr:colOff>
      <xdr:row>238</xdr:row>
      <xdr:rowOff>85725</xdr:rowOff>
    </xdr:to>
    <xdr:sp macro="" textlink="">
      <xdr:nvSpPr>
        <xdr:cNvPr id="38" name="Rectángulo redondead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1790701" y="36480750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28574</xdr:colOff>
      <xdr:row>36</xdr:row>
      <xdr:rowOff>171450</xdr:rowOff>
    </xdr:from>
    <xdr:to>
      <xdr:col>7</xdr:col>
      <xdr:colOff>742950</xdr:colOff>
      <xdr:row>39</xdr:row>
      <xdr:rowOff>38100</xdr:rowOff>
    </xdr:to>
    <xdr:sp macro="" textlink="">
      <xdr:nvSpPr>
        <xdr:cNvPr id="39" name="Rectángulo redondead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4695824" y="4981575"/>
          <a:ext cx="1466851" cy="447675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704850</xdr:colOff>
      <xdr:row>38</xdr:row>
      <xdr:rowOff>9525</xdr:rowOff>
    </xdr:from>
    <xdr:to>
      <xdr:col>6</xdr:col>
      <xdr:colOff>28574</xdr:colOff>
      <xdr:row>38</xdr:row>
      <xdr:rowOff>14288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stCxn id="39" idx="1"/>
        </xdr:cNvCxnSpPr>
      </xdr:nvCxnSpPr>
      <xdr:spPr>
        <a:xfrm flipH="1" flipV="1">
          <a:off x="4476750" y="5200650"/>
          <a:ext cx="219074" cy="4763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514351</xdr:colOff>
      <xdr:row>252</xdr:row>
      <xdr:rowOff>142875</xdr:rowOff>
    </xdr:from>
    <xdr:to>
      <xdr:col>5</xdr:col>
      <xdr:colOff>228601</xdr:colOff>
      <xdr:row>255</xdr:row>
      <xdr:rowOff>85725</xdr:rowOff>
    </xdr:to>
    <xdr:sp macro="" textlink="">
      <xdr:nvSpPr>
        <xdr:cNvPr id="41" name="Rectángulo redondead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1790701" y="42281475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457200</xdr:colOff>
      <xdr:row>61</xdr:row>
      <xdr:rowOff>142875</xdr:rowOff>
    </xdr:from>
    <xdr:to>
      <xdr:col>6</xdr:col>
      <xdr:colOff>666750</xdr:colOff>
      <xdr:row>63</xdr:row>
      <xdr:rowOff>57150</xdr:rowOff>
    </xdr:to>
    <xdr:sp macro="" textlink="">
      <xdr:nvSpPr>
        <xdr:cNvPr id="42" name="Rectángulo redondead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2581275" y="10887075"/>
          <a:ext cx="27527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247649</xdr:colOff>
      <xdr:row>14</xdr:row>
      <xdr:rowOff>152400</xdr:rowOff>
    </xdr:from>
    <xdr:to>
      <xdr:col>7</xdr:col>
      <xdr:colOff>533400</xdr:colOff>
      <xdr:row>16</xdr:row>
      <xdr:rowOff>66675</xdr:rowOff>
    </xdr:to>
    <xdr:sp macro="" textlink="">
      <xdr:nvSpPr>
        <xdr:cNvPr id="51" name="Rectángulo redondeado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3171824" y="2819400"/>
          <a:ext cx="2781301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333375</xdr:colOff>
      <xdr:row>80</xdr:row>
      <xdr:rowOff>9525</xdr:rowOff>
    </xdr:from>
    <xdr:to>
      <xdr:col>1</xdr:col>
      <xdr:colOff>171450</xdr:colOff>
      <xdr:row>81</xdr:row>
      <xdr:rowOff>38101</xdr:rowOff>
    </xdr:to>
    <xdr:sp macro="" textlink="">
      <xdr:nvSpPr>
        <xdr:cNvPr id="4" name="Flecha derech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33375" y="1328737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180975</xdr:colOff>
      <xdr:row>114</xdr:row>
      <xdr:rowOff>0</xdr:rowOff>
    </xdr:from>
    <xdr:to>
      <xdr:col>1</xdr:col>
      <xdr:colOff>19050</xdr:colOff>
      <xdr:row>115</xdr:row>
      <xdr:rowOff>28576</xdr:rowOff>
    </xdr:to>
    <xdr:sp macro="" textlink="">
      <xdr:nvSpPr>
        <xdr:cNvPr id="53" name="Flecha derecha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180975" y="1975485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819150</xdr:colOff>
      <xdr:row>120</xdr:row>
      <xdr:rowOff>104775</xdr:rowOff>
    </xdr:from>
    <xdr:to>
      <xdr:col>6</xdr:col>
      <xdr:colOff>0</xdr:colOff>
      <xdr:row>122</xdr:row>
      <xdr:rowOff>114300</xdr:rowOff>
    </xdr:to>
    <xdr:sp macro="" textlink="">
      <xdr:nvSpPr>
        <xdr:cNvPr id="54" name="Flecha derecha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3743325" y="21764625"/>
          <a:ext cx="923925" cy="3905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142876</xdr:colOff>
      <xdr:row>2</xdr:row>
      <xdr:rowOff>66675</xdr:rowOff>
    </xdr:from>
    <xdr:to>
      <xdr:col>5</xdr:col>
      <xdr:colOff>676276</xdr:colOff>
      <xdr:row>13</xdr:row>
      <xdr:rowOff>104775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222"/>
        <a:stretch/>
      </xdr:blipFill>
      <xdr:spPr bwMode="auto">
        <a:xfrm>
          <a:off x="1419226" y="447675"/>
          <a:ext cx="302895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40</xdr:row>
      <xdr:rowOff>104775</xdr:rowOff>
    </xdr:from>
    <xdr:to>
      <xdr:col>1</xdr:col>
      <xdr:colOff>685800</xdr:colOff>
      <xdr:row>41</xdr:row>
      <xdr:rowOff>133351</xdr:rowOff>
    </xdr:to>
    <xdr:sp macro="" textlink="">
      <xdr:nvSpPr>
        <xdr:cNvPr id="77" name="Flecha derecha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847725" y="778192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0</xdr:colOff>
      <xdr:row>43</xdr:row>
      <xdr:rowOff>47625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>
          <a:off x="2819400" y="9982200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638174</xdr:colOff>
      <xdr:row>19</xdr:row>
      <xdr:rowOff>161925</xdr:rowOff>
    </xdr:from>
    <xdr:to>
      <xdr:col>2</xdr:col>
      <xdr:colOff>19049</xdr:colOff>
      <xdr:row>29</xdr:row>
      <xdr:rowOff>152400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152524" y="3810000"/>
          <a:ext cx="142875" cy="19145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742949</xdr:colOff>
      <xdr:row>31</xdr:row>
      <xdr:rowOff>123825</xdr:rowOff>
    </xdr:from>
    <xdr:to>
      <xdr:col>2</xdr:col>
      <xdr:colOff>57150</xdr:colOff>
      <xdr:row>33</xdr:row>
      <xdr:rowOff>66675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57299" y="6076950"/>
          <a:ext cx="76201" cy="3238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171450</xdr:colOff>
      <xdr:row>54</xdr:row>
      <xdr:rowOff>114300</xdr:rowOff>
    </xdr:from>
    <xdr:to>
      <xdr:col>2</xdr:col>
      <xdr:colOff>409575</xdr:colOff>
      <xdr:row>54</xdr:row>
      <xdr:rowOff>114301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447800" y="10477500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28576</xdr:colOff>
      <xdr:row>133</xdr:row>
      <xdr:rowOff>19050</xdr:rowOff>
    </xdr:from>
    <xdr:to>
      <xdr:col>7</xdr:col>
      <xdr:colOff>733425</xdr:colOff>
      <xdr:row>135</xdr:row>
      <xdr:rowOff>180974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695826" y="25507950"/>
          <a:ext cx="1476374" cy="542924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352425</xdr:colOff>
      <xdr:row>135</xdr:row>
      <xdr:rowOff>180975</xdr:rowOff>
    </xdr:from>
    <xdr:to>
      <xdr:col>6</xdr:col>
      <xdr:colOff>352425</xdr:colOff>
      <xdr:row>139</xdr:row>
      <xdr:rowOff>9525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5019675" y="26050875"/>
          <a:ext cx="0" cy="5905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723901</xdr:colOff>
      <xdr:row>139</xdr:row>
      <xdr:rowOff>9525</xdr:rowOff>
    </xdr:from>
    <xdr:to>
      <xdr:col>2</xdr:col>
      <xdr:colOff>76201</xdr:colOff>
      <xdr:row>141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238251" y="26641425"/>
          <a:ext cx="114300" cy="409576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28573</xdr:colOff>
      <xdr:row>136</xdr:row>
      <xdr:rowOff>47625</xdr:rowOff>
    </xdr:from>
    <xdr:to>
      <xdr:col>7</xdr:col>
      <xdr:colOff>742949</xdr:colOff>
      <xdr:row>141</xdr:row>
      <xdr:rowOff>171450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28573" y="26108025"/>
          <a:ext cx="6153151" cy="10953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153</xdr:row>
      <xdr:rowOff>104775</xdr:rowOff>
    </xdr:from>
    <xdr:to>
      <xdr:col>5</xdr:col>
      <xdr:colOff>180975</xdr:colOff>
      <xdr:row>153</xdr:row>
      <xdr:rowOff>104776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3714750" y="29451300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150</xdr:row>
      <xdr:rowOff>104775</xdr:rowOff>
    </xdr:from>
    <xdr:to>
      <xdr:col>7</xdr:col>
      <xdr:colOff>228599</xdr:colOff>
      <xdr:row>154</xdr:row>
      <xdr:rowOff>152400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52425" y="28879800"/>
          <a:ext cx="5314949" cy="81915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781051</xdr:colOff>
      <xdr:row>159</xdr:row>
      <xdr:rowOff>171449</xdr:rowOff>
    </xdr:from>
    <xdr:to>
      <xdr:col>4</xdr:col>
      <xdr:colOff>826770</xdr:colOff>
      <xdr:row>164</xdr:row>
      <xdr:rowOff>28575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3705226" y="30680024"/>
          <a:ext cx="45719" cy="847726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523875</xdr:colOff>
      <xdr:row>161</xdr:row>
      <xdr:rowOff>114300</xdr:rowOff>
    </xdr:from>
    <xdr:to>
      <xdr:col>3</xdr:col>
      <xdr:colOff>742950</xdr:colOff>
      <xdr:row>161</xdr:row>
      <xdr:rowOff>114300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2647950" y="31013400"/>
          <a:ext cx="21907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168</xdr:row>
      <xdr:rowOff>85725</xdr:rowOff>
    </xdr:from>
    <xdr:to>
      <xdr:col>3</xdr:col>
      <xdr:colOff>542925</xdr:colOff>
      <xdr:row>168</xdr:row>
      <xdr:rowOff>85725</xdr:rowOff>
    </xdr:to>
    <xdr:cxnSp macro="">
      <xdr:nvCxnSpPr>
        <xdr:cNvPr id="13" name="Conector recto de flecha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2381250" y="323564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169</xdr:row>
      <xdr:rowOff>95250</xdr:rowOff>
    </xdr:from>
    <xdr:to>
      <xdr:col>3</xdr:col>
      <xdr:colOff>542925</xdr:colOff>
      <xdr:row>169</xdr:row>
      <xdr:rowOff>95250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2381250" y="325564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171</xdr:row>
      <xdr:rowOff>95250</xdr:rowOff>
    </xdr:from>
    <xdr:to>
      <xdr:col>3</xdr:col>
      <xdr:colOff>552450</xdr:colOff>
      <xdr:row>171</xdr:row>
      <xdr:rowOff>95250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>
          <a:off x="2390775" y="329565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175</xdr:row>
      <xdr:rowOff>85725</xdr:rowOff>
    </xdr:from>
    <xdr:to>
      <xdr:col>3</xdr:col>
      <xdr:colOff>542925</xdr:colOff>
      <xdr:row>175</xdr:row>
      <xdr:rowOff>85725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>
          <a:off x="2381250" y="337280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176</xdr:row>
      <xdr:rowOff>95250</xdr:rowOff>
    </xdr:from>
    <xdr:to>
      <xdr:col>3</xdr:col>
      <xdr:colOff>542925</xdr:colOff>
      <xdr:row>176</xdr:row>
      <xdr:rowOff>95250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2381250" y="339280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178</xdr:row>
      <xdr:rowOff>95250</xdr:rowOff>
    </xdr:from>
    <xdr:to>
      <xdr:col>3</xdr:col>
      <xdr:colOff>552450</xdr:colOff>
      <xdr:row>178</xdr:row>
      <xdr:rowOff>95250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2390775" y="34328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184</xdr:row>
      <xdr:rowOff>85725</xdr:rowOff>
    </xdr:from>
    <xdr:to>
      <xdr:col>3</xdr:col>
      <xdr:colOff>542925</xdr:colOff>
      <xdr:row>184</xdr:row>
      <xdr:rowOff>85725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>
          <a:off x="2381250" y="35471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185</xdr:row>
      <xdr:rowOff>95250</xdr:rowOff>
    </xdr:from>
    <xdr:to>
      <xdr:col>3</xdr:col>
      <xdr:colOff>542925</xdr:colOff>
      <xdr:row>185</xdr:row>
      <xdr:rowOff>95250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>
          <a:off x="2381250" y="356711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187</xdr:row>
      <xdr:rowOff>95250</xdr:rowOff>
    </xdr:from>
    <xdr:to>
      <xdr:col>3</xdr:col>
      <xdr:colOff>552450</xdr:colOff>
      <xdr:row>187</xdr:row>
      <xdr:rowOff>95250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>
          <a:off x="2390775" y="360711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209551</xdr:colOff>
      <xdr:row>181</xdr:row>
      <xdr:rowOff>104775</xdr:rowOff>
    </xdr:from>
    <xdr:to>
      <xdr:col>7</xdr:col>
      <xdr:colOff>552450</xdr:colOff>
      <xdr:row>188</xdr:row>
      <xdr:rowOff>152400</xdr:rowOff>
    </xdr:to>
    <xdr:sp macro="" textlink="">
      <xdr:nvSpPr>
        <xdr:cNvPr id="22" name="Rectángulo redondead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209551" y="34918650"/>
          <a:ext cx="5781674" cy="14097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200025</xdr:colOff>
      <xdr:row>209</xdr:row>
      <xdr:rowOff>33337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3124200" y="40276462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3124200" y="40276462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5</xdr:col>
      <xdr:colOff>66675</xdr:colOff>
      <xdr:row>212</xdr:row>
      <xdr:rowOff>104775</xdr:rowOff>
    </xdr:from>
    <xdr:to>
      <xdr:col>5</xdr:col>
      <xdr:colOff>371475</xdr:colOff>
      <xdr:row>212</xdr:row>
      <xdr:rowOff>104776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>
          <a:off x="3838575" y="40919400"/>
          <a:ext cx="30480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647701</xdr:colOff>
      <xdr:row>36</xdr:row>
      <xdr:rowOff>171451</xdr:rowOff>
    </xdr:from>
    <xdr:to>
      <xdr:col>2</xdr:col>
      <xdr:colOff>38100</xdr:colOff>
      <xdr:row>39</xdr:row>
      <xdr:rowOff>38100</xdr:rowOff>
    </xdr:to>
    <xdr:sp macro="" textlink="">
      <xdr:nvSpPr>
        <xdr:cNvPr id="25" name="Abrir llav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162051" y="7077076"/>
          <a:ext cx="152399" cy="4476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185737</xdr:colOff>
      <xdr:row>75</xdr:row>
      <xdr:rowOff>19050</xdr:rowOff>
    </xdr:from>
    <xdr:to>
      <xdr:col>5</xdr:col>
      <xdr:colOff>190500</xdr:colOff>
      <xdr:row>75</xdr:row>
      <xdr:rowOff>180975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CxnSpPr/>
      </xdr:nvCxnSpPr>
      <xdr:spPr>
        <a:xfrm>
          <a:off x="3957637" y="14420850"/>
          <a:ext cx="4763" cy="1619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790574</xdr:colOff>
      <xdr:row>73</xdr:row>
      <xdr:rowOff>200024</xdr:rowOff>
    </xdr:from>
    <xdr:to>
      <xdr:col>6</xdr:col>
      <xdr:colOff>314324</xdr:colOff>
      <xdr:row>75</xdr:row>
      <xdr:rowOff>28575</xdr:rowOff>
    </xdr:to>
    <xdr:sp macro="" textlink="">
      <xdr:nvSpPr>
        <xdr:cNvPr id="27" name="Rectángulo redondead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2914649" y="14201774"/>
          <a:ext cx="2066925" cy="22860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93</xdr:row>
      <xdr:rowOff>104775</xdr:rowOff>
    </xdr:from>
    <xdr:to>
      <xdr:col>5</xdr:col>
      <xdr:colOff>219075</xdr:colOff>
      <xdr:row>93</xdr:row>
      <xdr:rowOff>104776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 flipH="1">
          <a:off x="3781427" y="1797367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19051</xdr:colOff>
      <xdr:row>127</xdr:row>
      <xdr:rowOff>95251</xdr:rowOff>
    </xdr:from>
    <xdr:to>
      <xdr:col>4</xdr:col>
      <xdr:colOff>161925</xdr:colOff>
      <xdr:row>127</xdr:row>
      <xdr:rowOff>104775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 flipH="1" flipV="1">
          <a:off x="2943226" y="24441151"/>
          <a:ext cx="142874" cy="952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125</xdr:row>
      <xdr:rowOff>104775</xdr:rowOff>
    </xdr:from>
    <xdr:to>
      <xdr:col>4</xdr:col>
      <xdr:colOff>352425</xdr:colOff>
      <xdr:row>125</xdr:row>
      <xdr:rowOff>104776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/>
      </xdr:nvCxnSpPr>
      <xdr:spPr>
        <a:xfrm flipV="1">
          <a:off x="2962275" y="2406967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170</xdr:row>
      <xdr:rowOff>95250</xdr:rowOff>
    </xdr:from>
    <xdr:to>
      <xdr:col>3</xdr:col>
      <xdr:colOff>552450</xdr:colOff>
      <xdr:row>170</xdr:row>
      <xdr:rowOff>95250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/>
      </xdr:nvCxnSpPr>
      <xdr:spPr>
        <a:xfrm>
          <a:off x="2390775" y="327564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177</xdr:row>
      <xdr:rowOff>95250</xdr:rowOff>
    </xdr:from>
    <xdr:to>
      <xdr:col>3</xdr:col>
      <xdr:colOff>542925</xdr:colOff>
      <xdr:row>177</xdr:row>
      <xdr:rowOff>95250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>
          <a:off x="2381250" y="341280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186</xdr:row>
      <xdr:rowOff>95250</xdr:rowOff>
    </xdr:from>
    <xdr:to>
      <xdr:col>3</xdr:col>
      <xdr:colOff>542925</xdr:colOff>
      <xdr:row>186</xdr:row>
      <xdr:rowOff>95250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2381250" y="358711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514351</xdr:colOff>
      <xdr:row>249</xdr:row>
      <xdr:rowOff>142875</xdr:rowOff>
    </xdr:from>
    <xdr:to>
      <xdr:col>5</xdr:col>
      <xdr:colOff>228601</xdr:colOff>
      <xdr:row>252</xdr:row>
      <xdr:rowOff>85725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1790701" y="48206025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514351</xdr:colOff>
      <xdr:row>296</xdr:row>
      <xdr:rowOff>142875</xdr:rowOff>
    </xdr:from>
    <xdr:to>
      <xdr:col>5</xdr:col>
      <xdr:colOff>228601</xdr:colOff>
      <xdr:row>299</xdr:row>
      <xdr:rowOff>85725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1790701" y="57292875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28574</xdr:colOff>
      <xdr:row>36</xdr:row>
      <xdr:rowOff>171450</xdr:rowOff>
    </xdr:from>
    <xdr:to>
      <xdr:col>7</xdr:col>
      <xdr:colOff>742950</xdr:colOff>
      <xdr:row>39</xdr:row>
      <xdr:rowOff>38100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4695824" y="7077075"/>
          <a:ext cx="1485901" cy="447675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704850</xdr:colOff>
      <xdr:row>38</xdr:row>
      <xdr:rowOff>9525</xdr:rowOff>
    </xdr:from>
    <xdr:to>
      <xdr:col>6</xdr:col>
      <xdr:colOff>28574</xdr:colOff>
      <xdr:row>38</xdr:row>
      <xdr:rowOff>14288</xdr:rowOff>
    </xdr:to>
    <xdr:cxnSp macro="">
      <xdr:nvCxnSpPr>
        <xdr:cNvPr id="37" name="Conector recto de flecha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stCxn id="36" idx="1"/>
        </xdr:cNvCxnSpPr>
      </xdr:nvCxnSpPr>
      <xdr:spPr>
        <a:xfrm flipH="1" flipV="1">
          <a:off x="4476750" y="7296150"/>
          <a:ext cx="219074" cy="4763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514351</xdr:colOff>
      <xdr:row>316</xdr:row>
      <xdr:rowOff>142875</xdr:rowOff>
    </xdr:from>
    <xdr:to>
      <xdr:col>5</xdr:col>
      <xdr:colOff>228601</xdr:colOff>
      <xdr:row>319</xdr:row>
      <xdr:rowOff>85725</xdr:rowOff>
    </xdr:to>
    <xdr:sp macro="" textlink="">
      <xdr:nvSpPr>
        <xdr:cNvPr id="38" name="Rectángulo redondead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1790701" y="61150500"/>
          <a:ext cx="2209800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457200</xdr:colOff>
      <xdr:row>71</xdr:row>
      <xdr:rowOff>142875</xdr:rowOff>
    </xdr:from>
    <xdr:to>
      <xdr:col>6</xdr:col>
      <xdr:colOff>666750</xdr:colOff>
      <xdr:row>73</xdr:row>
      <xdr:rowOff>57150</xdr:rowOff>
    </xdr:to>
    <xdr:sp macro="" textlink="">
      <xdr:nvSpPr>
        <xdr:cNvPr id="39" name="Rectángulo redondead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2581275" y="13754100"/>
          <a:ext cx="27527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247649</xdr:colOff>
      <xdr:row>14</xdr:row>
      <xdr:rowOff>152400</xdr:rowOff>
    </xdr:from>
    <xdr:to>
      <xdr:col>7</xdr:col>
      <xdr:colOff>533400</xdr:colOff>
      <xdr:row>16</xdr:row>
      <xdr:rowOff>66675</xdr:rowOff>
    </xdr:to>
    <xdr:sp macro="" textlink="">
      <xdr:nvSpPr>
        <xdr:cNvPr id="40" name="Rectángulo redondead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3171824" y="2819400"/>
          <a:ext cx="2800351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333375</xdr:colOff>
      <xdr:row>93</xdr:row>
      <xdr:rowOff>9525</xdr:rowOff>
    </xdr:from>
    <xdr:to>
      <xdr:col>1</xdr:col>
      <xdr:colOff>171450</xdr:colOff>
      <xdr:row>94</xdr:row>
      <xdr:rowOff>38101</xdr:rowOff>
    </xdr:to>
    <xdr:sp macro="" textlink="">
      <xdr:nvSpPr>
        <xdr:cNvPr id="41" name="Flecha derecha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333375" y="1787842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180975</xdr:colOff>
      <xdr:row>127</xdr:row>
      <xdr:rowOff>0</xdr:rowOff>
    </xdr:from>
    <xdr:to>
      <xdr:col>1</xdr:col>
      <xdr:colOff>19050</xdr:colOff>
      <xdr:row>128</xdr:row>
      <xdr:rowOff>28576</xdr:rowOff>
    </xdr:to>
    <xdr:sp macro="" textlink="">
      <xdr:nvSpPr>
        <xdr:cNvPr id="42" name="Flecha derecha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180975" y="2434590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819150</xdr:colOff>
      <xdr:row>133</xdr:row>
      <xdr:rowOff>104775</xdr:rowOff>
    </xdr:from>
    <xdr:to>
      <xdr:col>6</xdr:col>
      <xdr:colOff>0</xdr:colOff>
      <xdr:row>135</xdr:row>
      <xdr:rowOff>114300</xdr:rowOff>
    </xdr:to>
    <xdr:sp macro="" textlink="">
      <xdr:nvSpPr>
        <xdr:cNvPr id="43" name="Flecha derecha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3743325" y="25593675"/>
          <a:ext cx="923925" cy="39052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333375</xdr:colOff>
      <xdr:row>40</xdr:row>
      <xdr:rowOff>104775</xdr:rowOff>
    </xdr:from>
    <xdr:to>
      <xdr:col>1</xdr:col>
      <xdr:colOff>685800</xdr:colOff>
      <xdr:row>41</xdr:row>
      <xdr:rowOff>133351</xdr:rowOff>
    </xdr:to>
    <xdr:sp macro="" textlink="">
      <xdr:nvSpPr>
        <xdr:cNvPr id="44" name="Flecha derecha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847725" y="778192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4</xdr:col>
      <xdr:colOff>0</xdr:colOff>
      <xdr:row>43</xdr:row>
      <xdr:rowOff>47625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CxnSpPr/>
      </xdr:nvCxnSpPr>
      <xdr:spPr>
        <a:xfrm>
          <a:off x="2924175" y="8058150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371475</xdr:colOff>
      <xdr:row>2</xdr:row>
      <xdr:rowOff>28575</xdr:rowOff>
    </xdr:from>
    <xdr:to>
      <xdr:col>5</xdr:col>
      <xdr:colOff>628650</xdr:colOff>
      <xdr:row>13</xdr:row>
      <xdr:rowOff>161925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409575"/>
          <a:ext cx="2752725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685799</xdr:colOff>
      <xdr:row>47</xdr:row>
      <xdr:rowOff>180976</xdr:rowOff>
    </xdr:from>
    <xdr:to>
      <xdr:col>2</xdr:col>
      <xdr:colOff>85724</xdr:colOff>
      <xdr:row>51</xdr:row>
      <xdr:rowOff>0</xdr:rowOff>
    </xdr:to>
    <xdr:sp macro="" textlink="">
      <xdr:nvSpPr>
        <xdr:cNvPr id="47" name="Abrir llav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200149" y="9191626"/>
          <a:ext cx="161925" cy="590549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523875</xdr:colOff>
      <xdr:row>194</xdr:row>
      <xdr:rowOff>104775</xdr:rowOff>
    </xdr:from>
    <xdr:to>
      <xdr:col>4</xdr:col>
      <xdr:colOff>857250</xdr:colOff>
      <xdr:row>194</xdr:row>
      <xdr:rowOff>104776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>
          <a:off x="3448050" y="37442775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195</xdr:row>
      <xdr:rowOff>104775</xdr:rowOff>
    </xdr:from>
    <xdr:to>
      <xdr:col>4</xdr:col>
      <xdr:colOff>857250</xdr:colOff>
      <xdr:row>195</xdr:row>
      <xdr:rowOff>104776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>
          <a:off x="3448050" y="37642800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196</xdr:row>
      <xdr:rowOff>104775</xdr:rowOff>
    </xdr:from>
    <xdr:to>
      <xdr:col>4</xdr:col>
      <xdr:colOff>857250</xdr:colOff>
      <xdr:row>196</xdr:row>
      <xdr:rowOff>104776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CxnSpPr/>
      </xdr:nvCxnSpPr>
      <xdr:spPr>
        <a:xfrm>
          <a:off x="3448050" y="37842825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201</xdr:row>
      <xdr:rowOff>104775</xdr:rowOff>
    </xdr:from>
    <xdr:to>
      <xdr:col>4</xdr:col>
      <xdr:colOff>857250</xdr:colOff>
      <xdr:row>201</xdr:row>
      <xdr:rowOff>104776</xdr:rowOff>
    </xdr:to>
    <xdr:cxnSp macro="">
      <xdr:nvCxnSpPr>
        <xdr:cNvPr id="51" name="Conector recto de flecha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3448050" y="38804850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202</xdr:row>
      <xdr:rowOff>104775</xdr:rowOff>
    </xdr:from>
    <xdr:to>
      <xdr:col>4</xdr:col>
      <xdr:colOff>857250</xdr:colOff>
      <xdr:row>202</xdr:row>
      <xdr:rowOff>104776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CxnSpPr/>
      </xdr:nvCxnSpPr>
      <xdr:spPr>
        <a:xfrm>
          <a:off x="3448050" y="39004875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203</xdr:row>
      <xdr:rowOff>104775</xdr:rowOff>
    </xdr:from>
    <xdr:to>
      <xdr:col>4</xdr:col>
      <xdr:colOff>857250</xdr:colOff>
      <xdr:row>203</xdr:row>
      <xdr:rowOff>104776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/>
      </xdr:nvCxnSpPr>
      <xdr:spPr>
        <a:xfrm>
          <a:off x="3448050" y="39195375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198</xdr:row>
      <xdr:rowOff>114299</xdr:rowOff>
    </xdr:from>
    <xdr:to>
      <xdr:col>7</xdr:col>
      <xdr:colOff>238126</xdr:colOff>
      <xdr:row>204</xdr:row>
      <xdr:rowOff>152399</xdr:rowOff>
    </xdr:to>
    <xdr:sp macro="" textlink="">
      <xdr:nvSpPr>
        <xdr:cNvPr id="54" name="Rectángulo redondead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990600" y="38242874"/>
          <a:ext cx="4686301" cy="11906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162</xdr:row>
      <xdr:rowOff>9525</xdr:rowOff>
    </xdr:from>
    <xdr:to>
      <xdr:col>6</xdr:col>
      <xdr:colOff>142355</xdr:colOff>
      <xdr:row>169</xdr:row>
      <xdr:rowOff>152215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1003875"/>
          <a:ext cx="4161905" cy="14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191</xdr:row>
      <xdr:rowOff>47625</xdr:rowOff>
    </xdr:from>
    <xdr:to>
      <xdr:col>5</xdr:col>
      <xdr:colOff>751990</xdr:colOff>
      <xdr:row>199</xdr:row>
      <xdr:rowOff>152196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36576000"/>
          <a:ext cx="3876190" cy="16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15</xdr:row>
      <xdr:rowOff>9525</xdr:rowOff>
    </xdr:from>
    <xdr:to>
      <xdr:col>5</xdr:col>
      <xdr:colOff>409162</xdr:colOff>
      <xdr:row>28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2886075"/>
          <a:ext cx="3304762" cy="26003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31</xdr:row>
      <xdr:rowOff>28575</xdr:rowOff>
    </xdr:from>
    <xdr:to>
      <xdr:col>5</xdr:col>
      <xdr:colOff>399638</xdr:colOff>
      <xdr:row>44</xdr:row>
      <xdr:rowOff>152075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5962650"/>
          <a:ext cx="3295238" cy="2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47</xdr:row>
      <xdr:rowOff>47625</xdr:rowOff>
    </xdr:from>
    <xdr:to>
      <xdr:col>5</xdr:col>
      <xdr:colOff>609180</xdr:colOff>
      <xdr:row>50</xdr:row>
      <xdr:rowOff>142792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175" y="9039225"/>
          <a:ext cx="3361905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51</xdr:row>
      <xdr:rowOff>9525</xdr:rowOff>
    </xdr:from>
    <xdr:to>
      <xdr:col>5</xdr:col>
      <xdr:colOff>647288</xdr:colOff>
      <xdr:row>56</xdr:row>
      <xdr:rowOff>190358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3950" y="9763125"/>
          <a:ext cx="3295238" cy="1133333"/>
        </a:xfrm>
        <a:prstGeom prst="rect">
          <a:avLst/>
        </a:prstGeom>
      </xdr:spPr>
    </xdr:pic>
    <xdr:clientData/>
  </xdr:twoCellAnchor>
  <xdr:oneCellAnchor>
    <xdr:from>
      <xdr:col>3</xdr:col>
      <xdr:colOff>180976</xdr:colOff>
      <xdr:row>69</xdr:row>
      <xdr:rowOff>95250</xdr:rowOff>
    </xdr:from>
    <xdr:ext cx="1123949" cy="73844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3626" y="13296900"/>
          <a:ext cx="1123949" cy="738440"/>
        </a:xfrm>
        <a:prstGeom prst="rect">
          <a:avLst/>
        </a:prstGeom>
      </xdr:spPr>
    </xdr:pic>
    <xdr:clientData/>
  </xdr:oneCellAnchor>
  <xdr:twoCellAnchor>
    <xdr:from>
      <xdr:col>4</xdr:col>
      <xdr:colOff>457200</xdr:colOff>
      <xdr:row>70</xdr:row>
      <xdr:rowOff>133350</xdr:rowOff>
    </xdr:from>
    <xdr:to>
      <xdr:col>4</xdr:col>
      <xdr:colOff>752477</xdr:colOff>
      <xdr:row>70</xdr:row>
      <xdr:rowOff>142875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3438525" y="13525500"/>
          <a:ext cx="295277" cy="95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70</xdr:row>
      <xdr:rowOff>123825</xdr:rowOff>
    </xdr:from>
    <xdr:to>
      <xdr:col>3</xdr:col>
      <xdr:colOff>419100</xdr:colOff>
      <xdr:row>70</xdr:row>
      <xdr:rowOff>152401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2171700" y="13515975"/>
          <a:ext cx="400050" cy="28576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161925</xdr:colOff>
      <xdr:row>72</xdr:row>
      <xdr:rowOff>85725</xdr:rowOff>
    </xdr:from>
    <xdr:to>
      <xdr:col>4</xdr:col>
      <xdr:colOff>571501</xdr:colOff>
      <xdr:row>72</xdr:row>
      <xdr:rowOff>104775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3143250" y="13858875"/>
          <a:ext cx="409576" cy="190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62</xdr:row>
      <xdr:rowOff>0</xdr:rowOff>
    </xdr:from>
    <xdr:to>
      <xdr:col>2</xdr:col>
      <xdr:colOff>57151</xdr:colOff>
      <xdr:row>77</xdr:row>
      <xdr:rowOff>171449</xdr:rowOff>
    </xdr:to>
    <xdr:sp macro="" textlink="">
      <xdr:nvSpPr>
        <xdr:cNvPr id="12" name="Abrir llav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343025" y="11868150"/>
          <a:ext cx="104776" cy="3028949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695326</xdr:colOff>
      <xdr:row>79</xdr:row>
      <xdr:rowOff>180975</xdr:rowOff>
    </xdr:from>
    <xdr:to>
      <xdr:col>2</xdr:col>
      <xdr:colOff>47626</xdr:colOff>
      <xdr:row>84</xdr:row>
      <xdr:rowOff>0</xdr:rowOff>
    </xdr:to>
    <xdr:sp macro="" textlink="">
      <xdr:nvSpPr>
        <xdr:cNvPr id="13" name="Abrir llav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323976" y="15287625"/>
          <a:ext cx="114300" cy="7715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723899</xdr:colOff>
      <xdr:row>86</xdr:row>
      <xdr:rowOff>9525</xdr:rowOff>
    </xdr:from>
    <xdr:to>
      <xdr:col>2</xdr:col>
      <xdr:colOff>57150</xdr:colOff>
      <xdr:row>87</xdr:row>
      <xdr:rowOff>180975</xdr:rowOff>
    </xdr:to>
    <xdr:sp macro="" textlink="">
      <xdr:nvSpPr>
        <xdr:cNvPr id="14" name="Abrir llav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352549" y="16449675"/>
          <a:ext cx="95251" cy="3619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0</xdr:colOff>
      <xdr:row>201</xdr:row>
      <xdr:rowOff>0</xdr:rowOff>
    </xdr:from>
    <xdr:to>
      <xdr:col>4</xdr:col>
      <xdr:colOff>238125</xdr:colOff>
      <xdr:row>201</xdr:row>
      <xdr:rowOff>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>
          <a:off x="2981325" y="38433375"/>
          <a:ext cx="2381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657225</xdr:colOff>
      <xdr:row>223</xdr:row>
      <xdr:rowOff>104775</xdr:rowOff>
    </xdr:from>
    <xdr:to>
      <xdr:col>4</xdr:col>
      <xdr:colOff>247650</xdr:colOff>
      <xdr:row>223</xdr:row>
      <xdr:rowOff>104775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>
          <a:off x="2809875" y="42757725"/>
          <a:ext cx="41910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223</xdr:row>
      <xdr:rowOff>104775</xdr:rowOff>
    </xdr:from>
    <xdr:to>
      <xdr:col>2</xdr:col>
      <xdr:colOff>228600</xdr:colOff>
      <xdr:row>223</xdr:row>
      <xdr:rowOff>104775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1200150" y="42757725"/>
          <a:ext cx="41910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666750</xdr:colOff>
      <xdr:row>234</xdr:row>
      <xdr:rowOff>152399</xdr:rowOff>
    </xdr:from>
    <xdr:to>
      <xdr:col>4</xdr:col>
      <xdr:colOff>771525</xdr:colOff>
      <xdr:row>238</xdr:row>
      <xdr:rowOff>47624</xdr:rowOff>
    </xdr:to>
    <xdr:sp macro="" textlink="">
      <xdr:nvSpPr>
        <xdr:cNvPr id="18" name="Abrir llav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3648075" y="44910374"/>
          <a:ext cx="104775" cy="6572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295275</xdr:colOff>
      <xdr:row>236</xdr:row>
      <xdr:rowOff>104775</xdr:rowOff>
    </xdr:from>
    <xdr:to>
      <xdr:col>4</xdr:col>
      <xdr:colOff>581025</xdr:colOff>
      <xdr:row>236</xdr:row>
      <xdr:rowOff>104775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3276600" y="452437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240</xdr:row>
      <xdr:rowOff>123825</xdr:rowOff>
    </xdr:from>
    <xdr:to>
      <xdr:col>4</xdr:col>
      <xdr:colOff>66675</xdr:colOff>
      <xdr:row>240</xdr:row>
      <xdr:rowOff>123825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>
        <a:xfrm>
          <a:off x="2762250" y="460248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241</xdr:row>
      <xdr:rowOff>95250</xdr:rowOff>
    </xdr:from>
    <xdr:to>
      <xdr:col>4</xdr:col>
      <xdr:colOff>66675</xdr:colOff>
      <xdr:row>241</xdr:row>
      <xdr:rowOff>95250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>
          <a:off x="2762250" y="461867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619125</xdr:colOff>
      <xdr:row>242</xdr:row>
      <xdr:rowOff>95250</xdr:rowOff>
    </xdr:from>
    <xdr:to>
      <xdr:col>4</xdr:col>
      <xdr:colOff>76200</xdr:colOff>
      <xdr:row>242</xdr:row>
      <xdr:rowOff>95250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>
        <a:xfrm>
          <a:off x="2771775" y="463772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248</xdr:row>
      <xdr:rowOff>85725</xdr:rowOff>
    </xdr:from>
    <xdr:to>
      <xdr:col>3</xdr:col>
      <xdr:colOff>542925</xdr:colOff>
      <xdr:row>248</xdr:row>
      <xdr:rowOff>85725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2409825" y="475202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249</xdr:row>
      <xdr:rowOff>95250</xdr:rowOff>
    </xdr:from>
    <xdr:to>
      <xdr:col>3</xdr:col>
      <xdr:colOff>542925</xdr:colOff>
      <xdr:row>249</xdr:row>
      <xdr:rowOff>95250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/>
      </xdr:nvCxnSpPr>
      <xdr:spPr>
        <a:xfrm>
          <a:off x="2409825" y="477202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250</xdr:row>
      <xdr:rowOff>95250</xdr:rowOff>
    </xdr:from>
    <xdr:to>
      <xdr:col>3</xdr:col>
      <xdr:colOff>552450</xdr:colOff>
      <xdr:row>250</xdr:row>
      <xdr:rowOff>95250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2419350" y="479107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257</xdr:row>
      <xdr:rowOff>85725</xdr:rowOff>
    </xdr:from>
    <xdr:to>
      <xdr:col>3</xdr:col>
      <xdr:colOff>542925</xdr:colOff>
      <xdr:row>257</xdr:row>
      <xdr:rowOff>85725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/>
      </xdr:nvCxnSpPr>
      <xdr:spPr>
        <a:xfrm>
          <a:off x="2409825" y="492442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258</xdr:row>
      <xdr:rowOff>95250</xdr:rowOff>
    </xdr:from>
    <xdr:to>
      <xdr:col>3</xdr:col>
      <xdr:colOff>542925</xdr:colOff>
      <xdr:row>258</xdr:row>
      <xdr:rowOff>95250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2409825" y="494442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259</xdr:row>
      <xdr:rowOff>95250</xdr:rowOff>
    </xdr:from>
    <xdr:to>
      <xdr:col>3</xdr:col>
      <xdr:colOff>552450</xdr:colOff>
      <xdr:row>259</xdr:row>
      <xdr:rowOff>95250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2419350" y="496347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260</xdr:row>
      <xdr:rowOff>95250</xdr:rowOff>
    </xdr:from>
    <xdr:to>
      <xdr:col>3</xdr:col>
      <xdr:colOff>552450</xdr:colOff>
      <xdr:row>260</xdr:row>
      <xdr:rowOff>95250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>
          <a:off x="2419350" y="498252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251</xdr:row>
      <xdr:rowOff>95250</xdr:rowOff>
    </xdr:from>
    <xdr:to>
      <xdr:col>3</xdr:col>
      <xdr:colOff>552450</xdr:colOff>
      <xdr:row>251</xdr:row>
      <xdr:rowOff>95250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CxnSpPr/>
      </xdr:nvCxnSpPr>
      <xdr:spPr>
        <a:xfrm>
          <a:off x="2419350" y="481012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200025</xdr:colOff>
      <xdr:row>273</xdr:row>
      <xdr:rowOff>33337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 txBox="1"/>
          </xdr:nvSpPr>
          <xdr:spPr>
            <a:xfrm>
              <a:off x="3181350" y="522684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3181350" y="522684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4</xdr:col>
      <xdr:colOff>9525</xdr:colOff>
      <xdr:row>170</xdr:row>
      <xdr:rowOff>114300</xdr:rowOff>
    </xdr:from>
    <xdr:to>
      <xdr:col>4</xdr:col>
      <xdr:colOff>171450</xdr:colOff>
      <xdr:row>170</xdr:row>
      <xdr:rowOff>114300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CxnSpPr/>
      </xdr:nvCxnSpPr>
      <xdr:spPr>
        <a:xfrm>
          <a:off x="2990850" y="32632650"/>
          <a:ext cx="1619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28576</xdr:colOff>
      <xdr:row>149</xdr:row>
      <xdr:rowOff>19050</xdr:rowOff>
    </xdr:from>
    <xdr:to>
      <xdr:col>7</xdr:col>
      <xdr:colOff>628650</xdr:colOff>
      <xdr:row>151</xdr:row>
      <xdr:rowOff>180974</xdr:rowOff>
    </xdr:to>
    <xdr:sp macro="" textlink="">
      <xdr:nvSpPr>
        <xdr:cNvPr id="33" name="Rectángulo redondead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695826" y="28508325"/>
          <a:ext cx="1428749" cy="542924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419100</xdr:colOff>
      <xdr:row>151</xdr:row>
      <xdr:rowOff>180975</xdr:rowOff>
    </xdr:from>
    <xdr:to>
      <xdr:col>6</xdr:col>
      <xdr:colOff>419100</xdr:colOff>
      <xdr:row>154</xdr:row>
      <xdr:rowOff>19050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/>
      </xdr:nvCxnSpPr>
      <xdr:spPr>
        <a:xfrm>
          <a:off x="5086350" y="29051250"/>
          <a:ext cx="0" cy="40957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154</xdr:row>
      <xdr:rowOff>28575</xdr:rowOff>
    </xdr:from>
    <xdr:to>
      <xdr:col>3</xdr:col>
      <xdr:colOff>314325</xdr:colOff>
      <xdr:row>155</xdr:row>
      <xdr:rowOff>190499</xdr:rowOff>
    </xdr:to>
    <xdr:sp macro="" textlink="">
      <xdr:nvSpPr>
        <xdr:cNvPr id="35" name="Abrir llav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2362200" y="29470350"/>
          <a:ext cx="104775" cy="35242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28574</xdr:colOff>
      <xdr:row>152</xdr:row>
      <xdr:rowOff>76200</xdr:rowOff>
    </xdr:from>
    <xdr:to>
      <xdr:col>7</xdr:col>
      <xdr:colOff>228599</xdr:colOff>
      <xdr:row>156</xdr:row>
      <xdr:rowOff>85725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28574" y="29136975"/>
          <a:ext cx="5695950" cy="7715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180975</xdr:colOff>
      <xdr:row>183</xdr:row>
      <xdr:rowOff>133349</xdr:rowOff>
    </xdr:from>
    <xdr:to>
      <xdr:col>6</xdr:col>
      <xdr:colOff>676275</xdr:colOff>
      <xdr:row>187</xdr:row>
      <xdr:rowOff>133350</xdr:rowOff>
    </xdr:to>
    <xdr:sp macro="" textlink="">
      <xdr:nvSpPr>
        <xdr:cNvPr id="37" name="Rectángulo redondeado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809625" y="35128199"/>
          <a:ext cx="4533900" cy="762001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638175</xdr:colOff>
      <xdr:row>215</xdr:row>
      <xdr:rowOff>123825</xdr:rowOff>
    </xdr:from>
    <xdr:to>
      <xdr:col>4</xdr:col>
      <xdr:colOff>85725</xdr:colOff>
      <xdr:row>215</xdr:row>
      <xdr:rowOff>123825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CxnSpPr/>
      </xdr:nvCxnSpPr>
      <xdr:spPr>
        <a:xfrm>
          <a:off x="2790825" y="41233725"/>
          <a:ext cx="2762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180975</xdr:colOff>
      <xdr:row>212</xdr:row>
      <xdr:rowOff>133349</xdr:rowOff>
    </xdr:from>
    <xdr:to>
      <xdr:col>6</xdr:col>
      <xdr:colOff>676275</xdr:colOff>
      <xdr:row>216</xdr:row>
      <xdr:rowOff>133350</xdr:rowOff>
    </xdr:to>
    <xdr:sp macro="" textlink="">
      <xdr:nvSpPr>
        <xdr:cNvPr id="39" name="Rectángulo redondeado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809625" y="40671749"/>
          <a:ext cx="4533900" cy="771526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638175</xdr:colOff>
      <xdr:row>211</xdr:row>
      <xdr:rowOff>123825</xdr:rowOff>
    </xdr:from>
    <xdr:to>
      <xdr:col>4</xdr:col>
      <xdr:colOff>85725</xdr:colOff>
      <xdr:row>211</xdr:row>
      <xdr:rowOff>123825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CxnSpPr/>
      </xdr:nvCxnSpPr>
      <xdr:spPr>
        <a:xfrm>
          <a:off x="2790825" y="40462200"/>
          <a:ext cx="2762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657225</xdr:colOff>
      <xdr:row>182</xdr:row>
      <xdr:rowOff>114300</xdr:rowOff>
    </xdr:from>
    <xdr:to>
      <xdr:col>4</xdr:col>
      <xdr:colOff>104775</xdr:colOff>
      <xdr:row>182</xdr:row>
      <xdr:rowOff>114300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/>
      </xdr:nvCxnSpPr>
      <xdr:spPr>
        <a:xfrm>
          <a:off x="2809875" y="34918650"/>
          <a:ext cx="2762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186</xdr:row>
      <xdr:rowOff>114300</xdr:rowOff>
    </xdr:from>
    <xdr:to>
      <xdr:col>4</xdr:col>
      <xdr:colOff>114300</xdr:colOff>
      <xdr:row>186</xdr:row>
      <xdr:rowOff>114300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CxnSpPr/>
      </xdr:nvCxnSpPr>
      <xdr:spPr>
        <a:xfrm>
          <a:off x="2819400" y="35680650"/>
          <a:ext cx="2762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265</xdr:row>
      <xdr:rowOff>85725</xdr:rowOff>
    </xdr:from>
    <xdr:to>
      <xdr:col>3</xdr:col>
      <xdr:colOff>542925</xdr:colOff>
      <xdr:row>265</xdr:row>
      <xdr:rowOff>85725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CxnSpPr/>
      </xdr:nvCxnSpPr>
      <xdr:spPr>
        <a:xfrm>
          <a:off x="2409825" y="507682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266</xdr:row>
      <xdr:rowOff>95250</xdr:rowOff>
    </xdr:from>
    <xdr:to>
      <xdr:col>3</xdr:col>
      <xdr:colOff>542925</xdr:colOff>
      <xdr:row>266</xdr:row>
      <xdr:rowOff>95250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CxnSpPr/>
      </xdr:nvCxnSpPr>
      <xdr:spPr>
        <a:xfrm>
          <a:off x="2409825" y="509682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267</xdr:row>
      <xdr:rowOff>95250</xdr:rowOff>
    </xdr:from>
    <xdr:to>
      <xdr:col>3</xdr:col>
      <xdr:colOff>552450</xdr:colOff>
      <xdr:row>267</xdr:row>
      <xdr:rowOff>95250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2419350" y="511683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268</xdr:row>
      <xdr:rowOff>95250</xdr:rowOff>
    </xdr:from>
    <xdr:to>
      <xdr:col>3</xdr:col>
      <xdr:colOff>552450</xdr:colOff>
      <xdr:row>268</xdr:row>
      <xdr:rowOff>95250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CxnSpPr/>
      </xdr:nvCxnSpPr>
      <xdr:spPr>
        <a:xfrm>
          <a:off x="2419350" y="513683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581025</xdr:colOff>
      <xdr:row>264</xdr:row>
      <xdr:rowOff>47625</xdr:rowOff>
    </xdr:from>
    <xdr:to>
      <xdr:col>6</xdr:col>
      <xdr:colOff>171450</xdr:colOff>
      <xdr:row>269</xdr:row>
      <xdr:rowOff>152400</xdr:rowOff>
    </xdr:to>
    <xdr:sp macro="" textlink="">
      <xdr:nvSpPr>
        <xdr:cNvPr id="47" name="Rectángulo redondeado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1209675" y="50539650"/>
          <a:ext cx="3629025" cy="10763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752474</xdr:colOff>
      <xdr:row>58</xdr:row>
      <xdr:rowOff>142875</xdr:rowOff>
    </xdr:from>
    <xdr:to>
      <xdr:col>7</xdr:col>
      <xdr:colOff>161925</xdr:colOff>
      <xdr:row>60</xdr:row>
      <xdr:rowOff>66675</xdr:rowOff>
    </xdr:to>
    <xdr:sp macro="" textlink="">
      <xdr:nvSpPr>
        <xdr:cNvPr id="48" name="Rectángulo redondeado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2905124" y="11229975"/>
          <a:ext cx="2752726" cy="314325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200025</xdr:colOff>
      <xdr:row>101</xdr:row>
      <xdr:rowOff>19050</xdr:rowOff>
    </xdr:from>
    <xdr:to>
      <xdr:col>5</xdr:col>
      <xdr:colOff>204788</xdr:colOff>
      <xdr:row>101</xdr:row>
      <xdr:rowOff>180975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CxnSpPr>
          <a:stCxn id="50" idx="2"/>
        </xdr:cNvCxnSpPr>
      </xdr:nvCxnSpPr>
      <xdr:spPr>
        <a:xfrm flipH="1">
          <a:off x="3971925" y="19345275"/>
          <a:ext cx="4763" cy="1619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99</xdr:row>
      <xdr:rowOff>190499</xdr:rowOff>
    </xdr:from>
    <xdr:to>
      <xdr:col>6</xdr:col>
      <xdr:colOff>476250</xdr:colOff>
      <xdr:row>101</xdr:row>
      <xdr:rowOff>19050</xdr:rowOff>
    </xdr:to>
    <xdr:sp macro="" textlink="">
      <xdr:nvSpPr>
        <xdr:cNvPr id="50" name="Rectángulo redondeado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2943225" y="19135724"/>
          <a:ext cx="2200275" cy="20955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457199</xdr:colOff>
      <xdr:row>97</xdr:row>
      <xdr:rowOff>142875</xdr:rowOff>
    </xdr:from>
    <xdr:to>
      <xdr:col>6</xdr:col>
      <xdr:colOff>771524</xdr:colOff>
      <xdr:row>99</xdr:row>
      <xdr:rowOff>57150</xdr:rowOff>
    </xdr:to>
    <xdr:sp macro="" textlink="">
      <xdr:nvSpPr>
        <xdr:cNvPr id="51" name="Rectángulo redondeado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>
        <a:xfrm>
          <a:off x="2609849" y="18697575"/>
          <a:ext cx="28289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109</xdr:row>
      <xdr:rowOff>104775</xdr:rowOff>
    </xdr:from>
    <xdr:to>
      <xdr:col>5</xdr:col>
      <xdr:colOff>219075</xdr:colOff>
      <xdr:row>109</xdr:row>
      <xdr:rowOff>104776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CxnSpPr/>
      </xdr:nvCxnSpPr>
      <xdr:spPr>
        <a:xfrm flipH="1">
          <a:off x="3781427" y="20974050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109</xdr:row>
      <xdr:rowOff>0</xdr:rowOff>
    </xdr:from>
    <xdr:to>
      <xdr:col>1</xdr:col>
      <xdr:colOff>38100</xdr:colOff>
      <xdr:row>110</xdr:row>
      <xdr:rowOff>28576</xdr:rowOff>
    </xdr:to>
    <xdr:sp macro="" textlink="">
      <xdr:nvSpPr>
        <xdr:cNvPr id="53" name="Flecha derecha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200025" y="20869275"/>
          <a:ext cx="4667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19051</xdr:colOff>
      <xdr:row>143</xdr:row>
      <xdr:rowOff>95250</xdr:rowOff>
    </xdr:from>
    <xdr:to>
      <xdr:col>4</xdr:col>
      <xdr:colOff>219075</xdr:colOff>
      <xdr:row>143</xdr:row>
      <xdr:rowOff>95251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CxnSpPr/>
      </xdr:nvCxnSpPr>
      <xdr:spPr>
        <a:xfrm flipH="1">
          <a:off x="3000376" y="27441525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141</xdr:row>
      <xdr:rowOff>104775</xdr:rowOff>
    </xdr:from>
    <xdr:to>
      <xdr:col>4</xdr:col>
      <xdr:colOff>257175</xdr:colOff>
      <xdr:row>141</xdr:row>
      <xdr:rowOff>104777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CxnSpPr/>
      </xdr:nvCxnSpPr>
      <xdr:spPr>
        <a:xfrm flipV="1">
          <a:off x="3019425" y="27070050"/>
          <a:ext cx="219075" cy="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143</xdr:row>
      <xdr:rowOff>0</xdr:rowOff>
    </xdr:from>
    <xdr:to>
      <xdr:col>1</xdr:col>
      <xdr:colOff>0</xdr:colOff>
      <xdr:row>144</xdr:row>
      <xdr:rowOff>28576</xdr:rowOff>
    </xdr:to>
    <xdr:sp macro="" textlink="">
      <xdr:nvSpPr>
        <xdr:cNvPr id="56" name="Flecha derecha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61925" y="27346275"/>
          <a:ext cx="4667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419101</xdr:colOff>
      <xdr:row>289</xdr:row>
      <xdr:rowOff>142875</xdr:rowOff>
    </xdr:from>
    <xdr:to>
      <xdr:col>5</xdr:col>
      <xdr:colOff>323850</xdr:colOff>
      <xdr:row>292</xdr:row>
      <xdr:rowOff>85725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1809751" y="55445025"/>
          <a:ext cx="22859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314</xdr:row>
      <xdr:rowOff>142875</xdr:rowOff>
    </xdr:from>
    <xdr:to>
      <xdr:col>5</xdr:col>
      <xdr:colOff>323850</xdr:colOff>
      <xdr:row>317</xdr:row>
      <xdr:rowOff>85725</xdr:rowOff>
    </xdr:to>
    <xdr:sp macro="" textlink="">
      <xdr:nvSpPr>
        <xdr:cNvPr id="58" name="Rectángulo redondeado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1809751" y="60236100"/>
          <a:ext cx="2285999" cy="5334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328</xdr:row>
      <xdr:rowOff>142875</xdr:rowOff>
    </xdr:from>
    <xdr:to>
      <xdr:col>5</xdr:col>
      <xdr:colOff>323850</xdr:colOff>
      <xdr:row>331</xdr:row>
      <xdr:rowOff>85725</xdr:rowOff>
    </xdr:to>
    <xdr:sp macro="" textlink="">
      <xdr:nvSpPr>
        <xdr:cNvPr id="59" name="Rectángulo redondeado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1809751" y="62912625"/>
          <a:ext cx="22859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657225</xdr:colOff>
      <xdr:row>2</xdr:row>
      <xdr:rowOff>28575</xdr:rowOff>
    </xdr:from>
    <xdr:to>
      <xdr:col>5</xdr:col>
      <xdr:colOff>885825</xdr:colOff>
      <xdr:row>12</xdr:row>
      <xdr:rowOff>178051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09575"/>
          <a:ext cx="3371850" cy="2054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638174</xdr:colOff>
      <xdr:row>14</xdr:row>
      <xdr:rowOff>161925</xdr:rowOff>
    </xdr:from>
    <xdr:to>
      <xdr:col>2</xdr:col>
      <xdr:colOff>19049</xdr:colOff>
      <xdr:row>25</xdr:row>
      <xdr:rowOff>152400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52524" y="2847975"/>
          <a:ext cx="142875" cy="20955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657225</xdr:colOff>
      <xdr:row>27</xdr:row>
      <xdr:rowOff>133350</xdr:rowOff>
    </xdr:from>
    <xdr:to>
      <xdr:col>2</xdr:col>
      <xdr:colOff>47625</xdr:colOff>
      <xdr:row>37</xdr:row>
      <xdr:rowOff>85725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71575" y="5305425"/>
          <a:ext cx="152400" cy="18669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704849</xdr:colOff>
      <xdr:row>38</xdr:row>
      <xdr:rowOff>171450</xdr:rowOff>
    </xdr:from>
    <xdr:to>
      <xdr:col>2</xdr:col>
      <xdr:colOff>66675</xdr:colOff>
      <xdr:row>41</xdr:row>
      <xdr:rowOff>38100</xdr:rowOff>
    </xdr:to>
    <xdr:sp macro="" textlink="">
      <xdr:nvSpPr>
        <xdr:cNvPr id="4" name="Abrir llav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19199" y="7448550"/>
          <a:ext cx="123826" cy="4381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171450</xdr:colOff>
      <xdr:row>44</xdr:row>
      <xdr:rowOff>114300</xdr:rowOff>
    </xdr:from>
    <xdr:to>
      <xdr:col>2</xdr:col>
      <xdr:colOff>409575</xdr:colOff>
      <xdr:row>44</xdr:row>
      <xdr:rowOff>114301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>
          <a:off x="1447800" y="8543925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28576</xdr:colOff>
      <xdr:row>116</xdr:row>
      <xdr:rowOff>19050</xdr:rowOff>
    </xdr:from>
    <xdr:to>
      <xdr:col>7</xdr:col>
      <xdr:colOff>733425</xdr:colOff>
      <xdr:row>118</xdr:row>
      <xdr:rowOff>180974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657726" y="22221825"/>
          <a:ext cx="1409699" cy="542924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352425</xdr:colOff>
      <xdr:row>118</xdr:row>
      <xdr:rowOff>180975</xdr:rowOff>
    </xdr:from>
    <xdr:to>
      <xdr:col>6</xdr:col>
      <xdr:colOff>361950</xdr:colOff>
      <xdr:row>122</xdr:row>
      <xdr:rowOff>0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4981575" y="22764750"/>
          <a:ext cx="9525" cy="5810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122</xdr:row>
      <xdr:rowOff>9524</xdr:rowOff>
    </xdr:from>
    <xdr:to>
      <xdr:col>2</xdr:col>
      <xdr:colOff>66675</xdr:colOff>
      <xdr:row>124</xdr:row>
      <xdr:rowOff>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38250" y="23355299"/>
          <a:ext cx="104775" cy="390526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28573</xdr:colOff>
      <xdr:row>119</xdr:row>
      <xdr:rowOff>47625</xdr:rowOff>
    </xdr:from>
    <xdr:to>
      <xdr:col>7</xdr:col>
      <xdr:colOff>742949</xdr:colOff>
      <xdr:row>124</xdr:row>
      <xdr:rowOff>66674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28573" y="22821900"/>
          <a:ext cx="6048376" cy="990599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47625</xdr:colOff>
      <xdr:row>137</xdr:row>
      <xdr:rowOff>114300</xdr:rowOff>
    </xdr:from>
    <xdr:to>
      <xdr:col>4</xdr:col>
      <xdr:colOff>219075</xdr:colOff>
      <xdr:row>137</xdr:row>
      <xdr:rowOff>114300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>
          <a:off x="2905125" y="26374725"/>
          <a:ext cx="1714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130</xdr:row>
      <xdr:rowOff>19050</xdr:rowOff>
    </xdr:from>
    <xdr:to>
      <xdr:col>7</xdr:col>
      <xdr:colOff>733425</xdr:colOff>
      <xdr:row>138</xdr:row>
      <xdr:rowOff>152400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352425" y="24926925"/>
          <a:ext cx="5715000" cy="16859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723900</xdr:colOff>
      <xdr:row>148</xdr:row>
      <xdr:rowOff>114300</xdr:rowOff>
    </xdr:from>
    <xdr:to>
      <xdr:col>4</xdr:col>
      <xdr:colOff>171450</xdr:colOff>
      <xdr:row>148</xdr:row>
      <xdr:rowOff>114300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2790825" y="28508325"/>
          <a:ext cx="2381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141</xdr:row>
      <xdr:rowOff>19050</xdr:rowOff>
    </xdr:from>
    <xdr:to>
      <xdr:col>7</xdr:col>
      <xdr:colOff>733425</xdr:colOff>
      <xdr:row>149</xdr:row>
      <xdr:rowOff>152400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52425" y="27060525"/>
          <a:ext cx="5715000" cy="16859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733425</xdr:colOff>
      <xdr:row>155</xdr:row>
      <xdr:rowOff>152399</xdr:rowOff>
    </xdr:from>
    <xdr:to>
      <xdr:col>4</xdr:col>
      <xdr:colOff>838200</xdr:colOff>
      <xdr:row>159</xdr:row>
      <xdr:rowOff>47624</xdr:rowOff>
    </xdr:to>
    <xdr:sp macro="" textlink="">
      <xdr:nvSpPr>
        <xdr:cNvPr id="14" name="Abrir llav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3590925" y="29898974"/>
          <a:ext cx="104775" cy="6858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</xdr:colOff>
      <xdr:row>157</xdr:row>
      <xdr:rowOff>114300</xdr:rowOff>
    </xdr:from>
    <xdr:to>
      <xdr:col>4</xdr:col>
      <xdr:colOff>238125</xdr:colOff>
      <xdr:row>157</xdr:row>
      <xdr:rowOff>114300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CxnSpPr/>
      </xdr:nvCxnSpPr>
      <xdr:spPr>
        <a:xfrm>
          <a:off x="2876550" y="30251400"/>
          <a:ext cx="21907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657225</xdr:colOff>
      <xdr:row>160</xdr:row>
      <xdr:rowOff>123825</xdr:rowOff>
    </xdr:from>
    <xdr:to>
      <xdr:col>5</xdr:col>
      <xdr:colOff>76200</xdr:colOff>
      <xdr:row>160</xdr:row>
      <xdr:rowOff>123825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3514725" y="30851475"/>
          <a:ext cx="3143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164</xdr:row>
      <xdr:rowOff>85725</xdr:rowOff>
    </xdr:from>
    <xdr:to>
      <xdr:col>3</xdr:col>
      <xdr:colOff>542925</xdr:colOff>
      <xdr:row>164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CxnSpPr/>
      </xdr:nvCxnSpPr>
      <xdr:spPr>
        <a:xfrm>
          <a:off x="2324100" y="315944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165</xdr:row>
      <xdr:rowOff>95250</xdr:rowOff>
    </xdr:from>
    <xdr:to>
      <xdr:col>3</xdr:col>
      <xdr:colOff>542925</xdr:colOff>
      <xdr:row>165</xdr:row>
      <xdr:rowOff>95250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CxnSpPr/>
      </xdr:nvCxnSpPr>
      <xdr:spPr>
        <a:xfrm>
          <a:off x="2324100" y="318039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166</xdr:row>
      <xdr:rowOff>95250</xdr:rowOff>
    </xdr:from>
    <xdr:to>
      <xdr:col>3</xdr:col>
      <xdr:colOff>552450</xdr:colOff>
      <xdr:row>166</xdr:row>
      <xdr:rowOff>95250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/>
      </xdr:nvCxnSpPr>
      <xdr:spPr>
        <a:xfrm>
          <a:off x="2333625" y="320040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170</xdr:row>
      <xdr:rowOff>85725</xdr:rowOff>
    </xdr:from>
    <xdr:to>
      <xdr:col>3</xdr:col>
      <xdr:colOff>542925</xdr:colOff>
      <xdr:row>170</xdr:row>
      <xdr:rowOff>85725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/>
      </xdr:nvCxnSpPr>
      <xdr:spPr>
        <a:xfrm>
          <a:off x="2324100" y="327755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171</xdr:row>
      <xdr:rowOff>95250</xdr:rowOff>
    </xdr:from>
    <xdr:to>
      <xdr:col>3</xdr:col>
      <xdr:colOff>542925</xdr:colOff>
      <xdr:row>171</xdr:row>
      <xdr:rowOff>95250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CxnSpPr/>
      </xdr:nvCxnSpPr>
      <xdr:spPr>
        <a:xfrm>
          <a:off x="2324100" y="329850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172</xdr:row>
      <xdr:rowOff>95250</xdr:rowOff>
    </xdr:from>
    <xdr:to>
      <xdr:col>3</xdr:col>
      <xdr:colOff>552450</xdr:colOff>
      <xdr:row>172</xdr:row>
      <xdr:rowOff>95250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CxnSpPr/>
      </xdr:nvCxnSpPr>
      <xdr:spPr>
        <a:xfrm>
          <a:off x="2333625" y="33185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428626</xdr:colOff>
      <xdr:row>161</xdr:row>
      <xdr:rowOff>133351</xdr:rowOff>
    </xdr:from>
    <xdr:to>
      <xdr:col>7</xdr:col>
      <xdr:colOff>38101</xdr:colOff>
      <xdr:row>173</xdr:row>
      <xdr:rowOff>142875</xdr:rowOff>
    </xdr:to>
    <xdr:sp macro="" textlink="">
      <xdr:nvSpPr>
        <xdr:cNvPr id="23" name="Rectángulo redondeado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28626" y="31061026"/>
          <a:ext cx="4943475" cy="2371724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257175</xdr:colOff>
      <xdr:row>178</xdr:row>
      <xdr:rowOff>85725</xdr:rowOff>
    </xdr:from>
    <xdr:to>
      <xdr:col>3</xdr:col>
      <xdr:colOff>542925</xdr:colOff>
      <xdr:row>178</xdr:row>
      <xdr:rowOff>85725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CxnSpPr/>
      </xdr:nvCxnSpPr>
      <xdr:spPr>
        <a:xfrm>
          <a:off x="2324100" y="343281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179</xdr:row>
      <xdr:rowOff>95250</xdr:rowOff>
    </xdr:from>
    <xdr:to>
      <xdr:col>3</xdr:col>
      <xdr:colOff>542925</xdr:colOff>
      <xdr:row>179</xdr:row>
      <xdr:rowOff>95250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CxnSpPr/>
      </xdr:nvCxnSpPr>
      <xdr:spPr>
        <a:xfrm>
          <a:off x="2324100" y="345281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180</xdr:row>
      <xdr:rowOff>95250</xdr:rowOff>
    </xdr:from>
    <xdr:to>
      <xdr:col>3</xdr:col>
      <xdr:colOff>552450</xdr:colOff>
      <xdr:row>180</xdr:row>
      <xdr:rowOff>95250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/>
      </xdr:nvCxnSpPr>
      <xdr:spPr>
        <a:xfrm>
          <a:off x="2333625" y="347281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175</xdr:row>
      <xdr:rowOff>104775</xdr:rowOff>
    </xdr:from>
    <xdr:to>
      <xdr:col>7</xdr:col>
      <xdr:colOff>457199</xdr:colOff>
      <xdr:row>181</xdr:row>
      <xdr:rowOff>152400</xdr:rowOff>
    </xdr:to>
    <xdr:sp macro="" textlink="">
      <xdr:nvSpPr>
        <xdr:cNvPr id="27" name="Rectángulo redondeado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314325" y="33775650"/>
          <a:ext cx="5476874" cy="120967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733425</xdr:colOff>
      <xdr:row>187</xdr:row>
      <xdr:rowOff>152399</xdr:rowOff>
    </xdr:from>
    <xdr:to>
      <xdr:col>4</xdr:col>
      <xdr:colOff>838200</xdr:colOff>
      <xdr:row>191</xdr:row>
      <xdr:rowOff>47624</xdr:rowOff>
    </xdr:to>
    <xdr:sp macro="" textlink="">
      <xdr:nvSpPr>
        <xdr:cNvPr id="28" name="Abrir llav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3590925" y="36137849"/>
          <a:ext cx="104775" cy="67627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19050</xdr:colOff>
      <xdr:row>189</xdr:row>
      <xdr:rowOff>114300</xdr:rowOff>
    </xdr:from>
    <xdr:to>
      <xdr:col>4</xdr:col>
      <xdr:colOff>238125</xdr:colOff>
      <xdr:row>189</xdr:row>
      <xdr:rowOff>114300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>
          <a:off x="2876550" y="36490275"/>
          <a:ext cx="21907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657225</xdr:colOff>
      <xdr:row>192</xdr:row>
      <xdr:rowOff>123825</xdr:rowOff>
    </xdr:from>
    <xdr:to>
      <xdr:col>5</xdr:col>
      <xdr:colOff>76200</xdr:colOff>
      <xdr:row>192</xdr:row>
      <xdr:rowOff>123825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CxnSpPr/>
      </xdr:nvCxnSpPr>
      <xdr:spPr>
        <a:xfrm>
          <a:off x="3514725" y="37080825"/>
          <a:ext cx="314325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196</xdr:row>
      <xdr:rowOff>85725</xdr:rowOff>
    </xdr:from>
    <xdr:to>
      <xdr:col>3</xdr:col>
      <xdr:colOff>542925</xdr:colOff>
      <xdr:row>196</xdr:row>
      <xdr:rowOff>85725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/>
      </xdr:nvCxnSpPr>
      <xdr:spPr>
        <a:xfrm>
          <a:off x="2324100" y="378237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197</xdr:row>
      <xdr:rowOff>95250</xdr:rowOff>
    </xdr:from>
    <xdr:to>
      <xdr:col>3</xdr:col>
      <xdr:colOff>542925</xdr:colOff>
      <xdr:row>197</xdr:row>
      <xdr:rowOff>95250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/>
      </xdr:nvCxnSpPr>
      <xdr:spPr>
        <a:xfrm>
          <a:off x="2324100" y="380333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198</xdr:row>
      <xdr:rowOff>95250</xdr:rowOff>
    </xdr:from>
    <xdr:to>
      <xdr:col>3</xdr:col>
      <xdr:colOff>552450</xdr:colOff>
      <xdr:row>198</xdr:row>
      <xdr:rowOff>95250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2333625" y="382333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202</xdr:row>
      <xdr:rowOff>85725</xdr:rowOff>
    </xdr:from>
    <xdr:to>
      <xdr:col>3</xdr:col>
      <xdr:colOff>542925</xdr:colOff>
      <xdr:row>202</xdr:row>
      <xdr:rowOff>85725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/>
      </xdr:nvCxnSpPr>
      <xdr:spPr>
        <a:xfrm>
          <a:off x="2324100" y="390048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203</xdr:row>
      <xdr:rowOff>95250</xdr:rowOff>
    </xdr:from>
    <xdr:to>
      <xdr:col>3</xdr:col>
      <xdr:colOff>542925</xdr:colOff>
      <xdr:row>203</xdr:row>
      <xdr:rowOff>95250</xdr:rowOff>
    </xdr:to>
    <xdr:cxnSp macro="">
      <xdr:nvCxnSpPr>
        <xdr:cNvPr id="35" name="Conector recto de flecha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CxnSpPr/>
      </xdr:nvCxnSpPr>
      <xdr:spPr>
        <a:xfrm>
          <a:off x="2324100" y="3921442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204</xdr:row>
      <xdr:rowOff>95250</xdr:rowOff>
    </xdr:from>
    <xdr:to>
      <xdr:col>3</xdr:col>
      <xdr:colOff>552450</xdr:colOff>
      <xdr:row>204</xdr:row>
      <xdr:rowOff>95250</xdr:rowOff>
    </xdr:to>
    <xdr:cxnSp macro="">
      <xdr:nvCxnSpPr>
        <xdr:cNvPr id="36" name="Conector recto de flecha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CxnSpPr/>
      </xdr:nvCxnSpPr>
      <xdr:spPr>
        <a:xfrm>
          <a:off x="2333625" y="394144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428626</xdr:colOff>
      <xdr:row>193</xdr:row>
      <xdr:rowOff>133351</xdr:rowOff>
    </xdr:from>
    <xdr:to>
      <xdr:col>7</xdr:col>
      <xdr:colOff>38101</xdr:colOff>
      <xdr:row>205</xdr:row>
      <xdr:rowOff>142875</xdr:rowOff>
    </xdr:to>
    <xdr:sp macro="" textlink="">
      <xdr:nvSpPr>
        <xdr:cNvPr id="37" name="Rectángulo redondeado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428626" y="37290376"/>
          <a:ext cx="4943475" cy="2371724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257175</xdr:colOff>
      <xdr:row>210</xdr:row>
      <xdr:rowOff>85725</xdr:rowOff>
    </xdr:from>
    <xdr:to>
      <xdr:col>3</xdr:col>
      <xdr:colOff>542925</xdr:colOff>
      <xdr:row>210</xdr:row>
      <xdr:rowOff>85725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>
          <a:off x="2324100" y="4055745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211</xdr:row>
      <xdr:rowOff>95250</xdr:rowOff>
    </xdr:from>
    <xdr:to>
      <xdr:col>3</xdr:col>
      <xdr:colOff>542925</xdr:colOff>
      <xdr:row>211</xdr:row>
      <xdr:rowOff>95250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CxnSpPr/>
      </xdr:nvCxnSpPr>
      <xdr:spPr>
        <a:xfrm>
          <a:off x="2324100" y="40757475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266700</xdr:colOff>
      <xdr:row>212</xdr:row>
      <xdr:rowOff>95250</xdr:rowOff>
    </xdr:from>
    <xdr:to>
      <xdr:col>3</xdr:col>
      <xdr:colOff>552450</xdr:colOff>
      <xdr:row>212</xdr:row>
      <xdr:rowOff>95250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2333625" y="40957500"/>
          <a:ext cx="2857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207</xdr:row>
      <xdr:rowOff>104775</xdr:rowOff>
    </xdr:from>
    <xdr:to>
      <xdr:col>7</xdr:col>
      <xdr:colOff>457199</xdr:colOff>
      <xdr:row>213</xdr:row>
      <xdr:rowOff>152400</xdr:rowOff>
    </xdr:to>
    <xdr:sp macro="" textlink="">
      <xdr:nvSpPr>
        <xdr:cNvPr id="41" name="Rectángulo redondeado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314325" y="40005000"/>
          <a:ext cx="5476874" cy="120967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200025</xdr:colOff>
      <xdr:row>217</xdr:row>
      <xdr:rowOff>33337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400-00002A000000}"/>
                </a:ext>
              </a:extLst>
            </xdr:cNvPr>
            <xdr:cNvSpPr txBox="1"/>
          </xdr:nvSpPr>
          <xdr:spPr>
            <a:xfrm>
              <a:off x="3057525" y="418671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3057525" y="41867137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5</xdr:col>
      <xdr:colOff>66675</xdr:colOff>
      <xdr:row>220</xdr:row>
      <xdr:rowOff>104775</xdr:rowOff>
    </xdr:from>
    <xdr:to>
      <xdr:col>5</xdr:col>
      <xdr:colOff>371475</xdr:colOff>
      <xdr:row>220</xdr:row>
      <xdr:rowOff>104776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CxnSpPr/>
      </xdr:nvCxnSpPr>
      <xdr:spPr>
        <a:xfrm>
          <a:off x="3819525" y="42510075"/>
          <a:ext cx="30480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676275</xdr:colOff>
      <xdr:row>10</xdr:row>
      <xdr:rowOff>133350</xdr:rowOff>
    </xdr:from>
    <xdr:to>
      <xdr:col>7</xdr:col>
      <xdr:colOff>219075</xdr:colOff>
      <xdr:row>12</xdr:row>
      <xdr:rowOff>57150</xdr:rowOff>
    </xdr:to>
    <xdr:sp macro="" textlink="">
      <xdr:nvSpPr>
        <xdr:cNvPr id="44" name="Rectángulo redondeado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2743200" y="2038350"/>
          <a:ext cx="2809875" cy="314325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428625</xdr:colOff>
      <xdr:row>59</xdr:row>
      <xdr:rowOff>142875</xdr:rowOff>
    </xdr:from>
    <xdr:to>
      <xdr:col>6</xdr:col>
      <xdr:colOff>647700</xdr:colOff>
      <xdr:row>61</xdr:row>
      <xdr:rowOff>57150</xdr:rowOff>
    </xdr:to>
    <xdr:sp macro="" textlink="">
      <xdr:nvSpPr>
        <xdr:cNvPr id="45" name="Rectángulo redondeado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2495550" y="11449050"/>
          <a:ext cx="2781300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85725</xdr:colOff>
      <xdr:row>63</xdr:row>
      <xdr:rowOff>19050</xdr:rowOff>
    </xdr:from>
    <xdr:to>
      <xdr:col>5</xdr:col>
      <xdr:colOff>90488</xdr:colOff>
      <xdr:row>63</xdr:row>
      <xdr:rowOff>180975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CxnSpPr>
          <a:stCxn id="47" idx="2"/>
        </xdr:cNvCxnSpPr>
      </xdr:nvCxnSpPr>
      <xdr:spPr>
        <a:xfrm flipH="1">
          <a:off x="3838575" y="12096750"/>
          <a:ext cx="4763" cy="1619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600075</xdr:colOff>
      <xdr:row>61</xdr:row>
      <xdr:rowOff>190499</xdr:rowOff>
    </xdr:from>
    <xdr:to>
      <xdr:col>6</xdr:col>
      <xdr:colOff>361950</xdr:colOff>
      <xdr:row>63</xdr:row>
      <xdr:rowOff>19050</xdr:rowOff>
    </xdr:to>
    <xdr:sp macro="" textlink="">
      <xdr:nvSpPr>
        <xdr:cNvPr id="47" name="Rectángulo redondeado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2667000" y="11887199"/>
          <a:ext cx="2324100" cy="20955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76</xdr:row>
      <xdr:rowOff>104775</xdr:rowOff>
    </xdr:from>
    <xdr:to>
      <xdr:col>5</xdr:col>
      <xdr:colOff>219075</xdr:colOff>
      <xdr:row>76</xdr:row>
      <xdr:rowOff>104776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CxnSpPr/>
      </xdr:nvCxnSpPr>
      <xdr:spPr>
        <a:xfrm flipH="1">
          <a:off x="3762377" y="14687550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76</xdr:row>
      <xdr:rowOff>0</xdr:rowOff>
    </xdr:from>
    <xdr:to>
      <xdr:col>1</xdr:col>
      <xdr:colOff>38100</xdr:colOff>
      <xdr:row>77</xdr:row>
      <xdr:rowOff>28576</xdr:rowOff>
    </xdr:to>
    <xdr:sp macro="" textlink="">
      <xdr:nvSpPr>
        <xdr:cNvPr id="49" name="Flecha derecha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200025" y="1458277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19051</xdr:colOff>
      <xdr:row>110</xdr:row>
      <xdr:rowOff>95250</xdr:rowOff>
    </xdr:from>
    <xdr:to>
      <xdr:col>4</xdr:col>
      <xdr:colOff>219075</xdr:colOff>
      <xdr:row>110</xdr:row>
      <xdr:rowOff>95251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CxnSpPr/>
      </xdr:nvCxnSpPr>
      <xdr:spPr>
        <a:xfrm flipH="1">
          <a:off x="2876551" y="21155025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108</xdr:row>
      <xdr:rowOff>104775</xdr:rowOff>
    </xdr:from>
    <xdr:to>
      <xdr:col>4</xdr:col>
      <xdr:colOff>257175</xdr:colOff>
      <xdr:row>108</xdr:row>
      <xdr:rowOff>104777</xdr:rowOff>
    </xdr:to>
    <xdr:cxnSp macro="">
      <xdr:nvCxnSpPr>
        <xdr:cNvPr id="51" name="Conector recto de flecha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CxnSpPr/>
      </xdr:nvCxnSpPr>
      <xdr:spPr>
        <a:xfrm flipV="1">
          <a:off x="2895600" y="20783550"/>
          <a:ext cx="219075" cy="2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110</xdr:row>
      <xdr:rowOff>0</xdr:rowOff>
    </xdr:from>
    <xdr:to>
      <xdr:col>1</xdr:col>
      <xdr:colOff>0</xdr:colOff>
      <xdr:row>111</xdr:row>
      <xdr:rowOff>28576</xdr:rowOff>
    </xdr:to>
    <xdr:sp macro="" textlink="">
      <xdr:nvSpPr>
        <xdr:cNvPr id="52" name="Flecha derecha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>
          <a:off x="161925" y="2105977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419102</xdr:colOff>
      <xdr:row>263</xdr:row>
      <xdr:rowOff>142875</xdr:rowOff>
    </xdr:from>
    <xdr:to>
      <xdr:col>5</xdr:col>
      <xdr:colOff>219076</xdr:colOff>
      <xdr:row>266</xdr:row>
      <xdr:rowOff>85725</xdr:rowOff>
    </xdr:to>
    <xdr:sp macro="" textlink="">
      <xdr:nvSpPr>
        <xdr:cNvPr id="53" name="Rectángulo redondeado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1695452" y="51034950"/>
          <a:ext cx="227647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308</xdr:row>
      <xdr:rowOff>142875</xdr:rowOff>
    </xdr:from>
    <xdr:to>
      <xdr:col>5</xdr:col>
      <xdr:colOff>247650</xdr:colOff>
      <xdr:row>311</xdr:row>
      <xdr:rowOff>85725</xdr:rowOff>
    </xdr:to>
    <xdr:sp macro="" textlink="">
      <xdr:nvSpPr>
        <xdr:cNvPr id="54" name="Rectángulo redondeado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>
          <a:off x="1695451" y="59731275"/>
          <a:ext cx="2305049" cy="5334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326</xdr:row>
      <xdr:rowOff>142875</xdr:rowOff>
    </xdr:from>
    <xdr:to>
      <xdr:col>5</xdr:col>
      <xdr:colOff>209550</xdr:colOff>
      <xdr:row>329</xdr:row>
      <xdr:rowOff>85725</xdr:rowOff>
    </xdr:to>
    <xdr:sp macro="" textlink="">
      <xdr:nvSpPr>
        <xdr:cNvPr id="55" name="Rectángulo redondeado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/>
      </xdr:nvSpPr>
      <xdr:spPr>
        <a:xfrm>
          <a:off x="1695451" y="63188850"/>
          <a:ext cx="2266949" cy="5334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561975</xdr:colOff>
      <xdr:row>3</xdr:row>
      <xdr:rowOff>9524</xdr:rowOff>
    </xdr:from>
    <xdr:to>
      <xdr:col>5</xdr:col>
      <xdr:colOff>823147</xdr:colOff>
      <xdr:row>9</xdr:row>
      <xdr:rowOff>95249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81024"/>
          <a:ext cx="349967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20</xdr:row>
      <xdr:rowOff>19050</xdr:rowOff>
    </xdr:from>
    <xdr:to>
      <xdr:col>2</xdr:col>
      <xdr:colOff>19050</xdr:colOff>
      <xdr:row>37</xdr:row>
      <xdr:rowOff>66675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95375" y="3838575"/>
          <a:ext cx="133350" cy="33337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647701</xdr:colOff>
      <xdr:row>43</xdr:row>
      <xdr:rowOff>171451</xdr:rowOff>
    </xdr:from>
    <xdr:to>
      <xdr:col>2</xdr:col>
      <xdr:colOff>38100</xdr:colOff>
      <xdr:row>46</xdr:row>
      <xdr:rowOff>38100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162051" y="8420101"/>
          <a:ext cx="85724" cy="4476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704850</xdr:colOff>
      <xdr:row>112</xdr:row>
      <xdr:rowOff>0</xdr:rowOff>
    </xdr:from>
    <xdr:to>
      <xdr:col>2</xdr:col>
      <xdr:colOff>66675</xdr:colOff>
      <xdr:row>114</xdr:row>
      <xdr:rowOff>0</xdr:rowOff>
    </xdr:to>
    <xdr:sp macro="" textlink="">
      <xdr:nvSpPr>
        <xdr:cNvPr id="4" name="Abrir llav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209675" y="21945600"/>
          <a:ext cx="66675" cy="3810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619126</xdr:colOff>
      <xdr:row>54</xdr:row>
      <xdr:rowOff>28574</xdr:rowOff>
    </xdr:from>
    <xdr:to>
      <xdr:col>2</xdr:col>
      <xdr:colOff>1</xdr:colOff>
      <xdr:row>85</xdr:row>
      <xdr:rowOff>180974</xdr:rowOff>
    </xdr:to>
    <xdr:sp macro="" textlink="">
      <xdr:nvSpPr>
        <xdr:cNvPr id="5" name="Abrir llav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133476" y="10382249"/>
          <a:ext cx="76200" cy="60674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685799</xdr:colOff>
      <xdr:row>89</xdr:row>
      <xdr:rowOff>180976</xdr:rowOff>
    </xdr:from>
    <xdr:to>
      <xdr:col>2</xdr:col>
      <xdr:colOff>85724</xdr:colOff>
      <xdr:row>93</xdr:row>
      <xdr:rowOff>0</xdr:rowOff>
    </xdr:to>
    <xdr:sp macro="" textlink="">
      <xdr:nvSpPr>
        <xdr:cNvPr id="6" name="Abrir llav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200149" y="17221201"/>
          <a:ext cx="95250" cy="61912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600075</xdr:colOff>
      <xdr:row>193</xdr:row>
      <xdr:rowOff>142873</xdr:rowOff>
    </xdr:from>
    <xdr:to>
      <xdr:col>2</xdr:col>
      <xdr:colOff>9525</xdr:colOff>
      <xdr:row>208</xdr:row>
      <xdr:rowOff>57150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114425" y="37557073"/>
          <a:ext cx="104775" cy="2790827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28575</xdr:colOff>
      <xdr:row>217</xdr:row>
      <xdr:rowOff>104775</xdr:rowOff>
    </xdr:from>
    <xdr:to>
      <xdr:col>4</xdr:col>
      <xdr:colOff>200025</xdr:colOff>
      <xdr:row>217</xdr:row>
      <xdr:rowOff>104776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2847975" y="42119550"/>
          <a:ext cx="1714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226</xdr:row>
      <xdr:rowOff>104775</xdr:rowOff>
    </xdr:from>
    <xdr:to>
      <xdr:col>4</xdr:col>
      <xdr:colOff>857250</xdr:colOff>
      <xdr:row>226</xdr:row>
      <xdr:rowOff>104776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3343275" y="438626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227</xdr:row>
      <xdr:rowOff>114300</xdr:rowOff>
    </xdr:from>
    <xdr:to>
      <xdr:col>4</xdr:col>
      <xdr:colOff>857250</xdr:colOff>
      <xdr:row>227</xdr:row>
      <xdr:rowOff>114301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/>
      </xdr:nvCxnSpPr>
      <xdr:spPr>
        <a:xfrm>
          <a:off x="3343275" y="440721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228</xdr:row>
      <xdr:rowOff>104775</xdr:rowOff>
    </xdr:from>
    <xdr:to>
      <xdr:col>4</xdr:col>
      <xdr:colOff>857250</xdr:colOff>
      <xdr:row>228</xdr:row>
      <xdr:rowOff>104776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3343275" y="442626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229</xdr:row>
      <xdr:rowOff>104775</xdr:rowOff>
    </xdr:from>
    <xdr:to>
      <xdr:col>4</xdr:col>
      <xdr:colOff>857250</xdr:colOff>
      <xdr:row>229</xdr:row>
      <xdr:rowOff>104776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>
          <a:off x="3343275" y="444627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234</xdr:row>
      <xdr:rowOff>104775</xdr:rowOff>
    </xdr:from>
    <xdr:to>
      <xdr:col>4</xdr:col>
      <xdr:colOff>857250</xdr:colOff>
      <xdr:row>234</xdr:row>
      <xdr:rowOff>104776</xdr:rowOff>
    </xdr:to>
    <xdr:cxnSp macro="">
      <xdr:nvCxnSpPr>
        <xdr:cNvPr id="13" name="Conector recto de flecha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3343275" y="454247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235</xdr:row>
      <xdr:rowOff>114300</xdr:rowOff>
    </xdr:from>
    <xdr:to>
      <xdr:col>4</xdr:col>
      <xdr:colOff>857250</xdr:colOff>
      <xdr:row>235</xdr:row>
      <xdr:rowOff>114301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3343275" y="456247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236</xdr:row>
      <xdr:rowOff>104775</xdr:rowOff>
    </xdr:from>
    <xdr:to>
      <xdr:col>4</xdr:col>
      <xdr:colOff>857250</xdr:colOff>
      <xdr:row>236</xdr:row>
      <xdr:rowOff>104776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3343275" y="458152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237</xdr:row>
      <xdr:rowOff>104775</xdr:rowOff>
    </xdr:from>
    <xdr:to>
      <xdr:col>4</xdr:col>
      <xdr:colOff>857250</xdr:colOff>
      <xdr:row>237</xdr:row>
      <xdr:rowOff>104776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3343275" y="460152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244</xdr:row>
      <xdr:rowOff>104775</xdr:rowOff>
    </xdr:from>
    <xdr:to>
      <xdr:col>4</xdr:col>
      <xdr:colOff>857250</xdr:colOff>
      <xdr:row>244</xdr:row>
      <xdr:rowOff>104776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3343275" y="473678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245</xdr:row>
      <xdr:rowOff>104775</xdr:rowOff>
    </xdr:from>
    <xdr:to>
      <xdr:col>4</xdr:col>
      <xdr:colOff>857250</xdr:colOff>
      <xdr:row>245</xdr:row>
      <xdr:rowOff>104776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3343275" y="475678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246</xdr:row>
      <xdr:rowOff>104775</xdr:rowOff>
    </xdr:from>
    <xdr:to>
      <xdr:col>4</xdr:col>
      <xdr:colOff>857250</xdr:colOff>
      <xdr:row>246</xdr:row>
      <xdr:rowOff>104776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>
          <a:off x="3343275" y="47767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250</xdr:row>
      <xdr:rowOff>104775</xdr:rowOff>
    </xdr:from>
    <xdr:to>
      <xdr:col>4</xdr:col>
      <xdr:colOff>857250</xdr:colOff>
      <xdr:row>250</xdr:row>
      <xdr:rowOff>104776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3343275" y="48539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251</xdr:row>
      <xdr:rowOff>104775</xdr:rowOff>
    </xdr:from>
    <xdr:to>
      <xdr:col>4</xdr:col>
      <xdr:colOff>857250</xdr:colOff>
      <xdr:row>251</xdr:row>
      <xdr:rowOff>104776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CxnSpPr/>
      </xdr:nvCxnSpPr>
      <xdr:spPr>
        <a:xfrm>
          <a:off x="3343275" y="48739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252</xdr:row>
      <xdr:rowOff>104775</xdr:rowOff>
    </xdr:from>
    <xdr:to>
      <xdr:col>4</xdr:col>
      <xdr:colOff>857250</xdr:colOff>
      <xdr:row>252</xdr:row>
      <xdr:rowOff>104776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CxnSpPr/>
      </xdr:nvCxnSpPr>
      <xdr:spPr>
        <a:xfrm>
          <a:off x="3343275" y="48929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265</xdr:row>
      <xdr:rowOff>104775</xdr:rowOff>
    </xdr:from>
    <xdr:to>
      <xdr:col>4</xdr:col>
      <xdr:colOff>857250</xdr:colOff>
      <xdr:row>265</xdr:row>
      <xdr:rowOff>104776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>
          <a:off x="3343275" y="51406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266</xdr:row>
      <xdr:rowOff>114300</xdr:rowOff>
    </xdr:from>
    <xdr:to>
      <xdr:col>4</xdr:col>
      <xdr:colOff>857250</xdr:colOff>
      <xdr:row>266</xdr:row>
      <xdr:rowOff>114301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CxnSpPr/>
      </xdr:nvCxnSpPr>
      <xdr:spPr>
        <a:xfrm>
          <a:off x="3343275" y="51606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267</xdr:row>
      <xdr:rowOff>104775</xdr:rowOff>
    </xdr:from>
    <xdr:to>
      <xdr:col>4</xdr:col>
      <xdr:colOff>857250</xdr:colOff>
      <xdr:row>267</xdr:row>
      <xdr:rowOff>104776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CxnSpPr/>
      </xdr:nvCxnSpPr>
      <xdr:spPr>
        <a:xfrm>
          <a:off x="3343275" y="51787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273</xdr:row>
      <xdr:rowOff>104775</xdr:rowOff>
    </xdr:from>
    <xdr:to>
      <xdr:col>4</xdr:col>
      <xdr:colOff>857250</xdr:colOff>
      <xdr:row>273</xdr:row>
      <xdr:rowOff>104776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CxnSpPr/>
      </xdr:nvCxnSpPr>
      <xdr:spPr>
        <a:xfrm>
          <a:off x="3343275" y="52930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274</xdr:row>
      <xdr:rowOff>114300</xdr:rowOff>
    </xdr:from>
    <xdr:to>
      <xdr:col>4</xdr:col>
      <xdr:colOff>857250</xdr:colOff>
      <xdr:row>274</xdr:row>
      <xdr:rowOff>114301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>
          <a:off x="3343275" y="53130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275</xdr:row>
      <xdr:rowOff>104775</xdr:rowOff>
    </xdr:from>
    <xdr:to>
      <xdr:col>4</xdr:col>
      <xdr:colOff>857250</xdr:colOff>
      <xdr:row>275</xdr:row>
      <xdr:rowOff>104776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CxnSpPr/>
      </xdr:nvCxnSpPr>
      <xdr:spPr>
        <a:xfrm>
          <a:off x="3343275" y="53311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276</xdr:row>
      <xdr:rowOff>104775</xdr:rowOff>
    </xdr:from>
    <xdr:to>
      <xdr:col>4</xdr:col>
      <xdr:colOff>857250</xdr:colOff>
      <xdr:row>276</xdr:row>
      <xdr:rowOff>104776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CxnSpPr/>
      </xdr:nvCxnSpPr>
      <xdr:spPr>
        <a:xfrm>
          <a:off x="3343275" y="53501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297</xdr:row>
      <xdr:rowOff>104775</xdr:rowOff>
    </xdr:from>
    <xdr:to>
      <xdr:col>4</xdr:col>
      <xdr:colOff>857250</xdr:colOff>
      <xdr:row>297</xdr:row>
      <xdr:rowOff>104776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>
          <a:off x="3343275" y="57502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298</xdr:row>
      <xdr:rowOff>114300</xdr:rowOff>
    </xdr:from>
    <xdr:to>
      <xdr:col>4</xdr:col>
      <xdr:colOff>857250</xdr:colOff>
      <xdr:row>298</xdr:row>
      <xdr:rowOff>114301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3343275" y="57702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299</xdr:row>
      <xdr:rowOff>104775</xdr:rowOff>
    </xdr:from>
    <xdr:to>
      <xdr:col>4</xdr:col>
      <xdr:colOff>857250</xdr:colOff>
      <xdr:row>299</xdr:row>
      <xdr:rowOff>104776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CxnSpPr/>
      </xdr:nvCxnSpPr>
      <xdr:spPr>
        <a:xfrm>
          <a:off x="3343275" y="57883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300</xdr:row>
      <xdr:rowOff>104775</xdr:rowOff>
    </xdr:from>
    <xdr:to>
      <xdr:col>4</xdr:col>
      <xdr:colOff>857250</xdr:colOff>
      <xdr:row>300</xdr:row>
      <xdr:rowOff>104776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3343275" y="58073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238125</xdr:colOff>
      <xdr:row>231</xdr:row>
      <xdr:rowOff>152399</xdr:rowOff>
    </xdr:from>
    <xdr:to>
      <xdr:col>7</xdr:col>
      <xdr:colOff>485775</xdr:colOff>
      <xdr:row>238</xdr:row>
      <xdr:rowOff>123823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752475" y="44900849"/>
          <a:ext cx="5133975" cy="1333499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476250</xdr:colOff>
      <xdr:row>247</xdr:row>
      <xdr:rowOff>114299</xdr:rowOff>
    </xdr:from>
    <xdr:to>
      <xdr:col>7</xdr:col>
      <xdr:colOff>238126</xdr:colOff>
      <xdr:row>253</xdr:row>
      <xdr:rowOff>152399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990600" y="47977424"/>
          <a:ext cx="4648201" cy="11906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342900</xdr:colOff>
      <xdr:row>286</xdr:row>
      <xdr:rowOff>57150</xdr:rowOff>
    </xdr:from>
    <xdr:to>
      <xdr:col>7</xdr:col>
      <xdr:colOff>381000</xdr:colOff>
      <xdr:row>303</xdr:row>
      <xdr:rowOff>171450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857250" y="55359300"/>
          <a:ext cx="4924425" cy="335280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523875</xdr:colOff>
      <xdr:row>33</xdr:row>
      <xdr:rowOff>104775</xdr:rowOff>
    </xdr:from>
    <xdr:to>
      <xdr:col>4</xdr:col>
      <xdr:colOff>857250</xdr:colOff>
      <xdr:row>33</xdr:row>
      <xdr:rowOff>104776</xdr:rowOff>
    </xdr:to>
    <xdr:cxnSp macro="">
      <xdr:nvCxnSpPr>
        <xdr:cNvPr id="37" name="Conector recto de flecha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CxnSpPr/>
      </xdr:nvCxnSpPr>
      <xdr:spPr>
        <a:xfrm>
          <a:off x="3343275" y="64103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34</xdr:row>
      <xdr:rowOff>114300</xdr:rowOff>
    </xdr:from>
    <xdr:to>
      <xdr:col>4</xdr:col>
      <xdr:colOff>857250</xdr:colOff>
      <xdr:row>34</xdr:row>
      <xdr:rowOff>114301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CxnSpPr/>
      </xdr:nvCxnSpPr>
      <xdr:spPr>
        <a:xfrm>
          <a:off x="3343275" y="6619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35</xdr:row>
      <xdr:rowOff>104775</xdr:rowOff>
    </xdr:from>
    <xdr:to>
      <xdr:col>4</xdr:col>
      <xdr:colOff>857250</xdr:colOff>
      <xdr:row>35</xdr:row>
      <xdr:rowOff>104776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CxnSpPr/>
      </xdr:nvCxnSpPr>
      <xdr:spPr>
        <a:xfrm>
          <a:off x="3343275" y="68103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36</xdr:row>
      <xdr:rowOff>104775</xdr:rowOff>
    </xdr:from>
    <xdr:to>
      <xdr:col>4</xdr:col>
      <xdr:colOff>857250</xdr:colOff>
      <xdr:row>36</xdr:row>
      <xdr:rowOff>104776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CxnSpPr/>
      </xdr:nvCxnSpPr>
      <xdr:spPr>
        <a:xfrm>
          <a:off x="3343275" y="7010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96</xdr:row>
      <xdr:rowOff>114300</xdr:rowOff>
    </xdr:from>
    <xdr:to>
      <xdr:col>2</xdr:col>
      <xdr:colOff>276225</xdr:colOff>
      <xdr:row>96</xdr:row>
      <xdr:rowOff>114301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CxnSpPr/>
      </xdr:nvCxnSpPr>
      <xdr:spPr>
        <a:xfrm>
          <a:off x="1247775" y="18526125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194</xdr:row>
      <xdr:rowOff>123825</xdr:rowOff>
    </xdr:from>
    <xdr:to>
      <xdr:col>6</xdr:col>
      <xdr:colOff>57150</xdr:colOff>
      <xdr:row>194</xdr:row>
      <xdr:rowOff>123826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CxnSpPr/>
      </xdr:nvCxnSpPr>
      <xdr:spPr>
        <a:xfrm>
          <a:off x="4457700" y="37728525"/>
          <a:ext cx="2190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195</xdr:row>
      <xdr:rowOff>114300</xdr:rowOff>
    </xdr:from>
    <xdr:to>
      <xdr:col>6</xdr:col>
      <xdr:colOff>47625</xdr:colOff>
      <xdr:row>195</xdr:row>
      <xdr:rowOff>114301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CxnSpPr/>
      </xdr:nvCxnSpPr>
      <xdr:spPr>
        <a:xfrm>
          <a:off x="4333875" y="379190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198</xdr:row>
      <xdr:rowOff>104775</xdr:rowOff>
    </xdr:from>
    <xdr:to>
      <xdr:col>5</xdr:col>
      <xdr:colOff>857250</xdr:colOff>
      <xdr:row>198</xdr:row>
      <xdr:rowOff>104776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CxnSpPr/>
      </xdr:nvCxnSpPr>
      <xdr:spPr>
        <a:xfrm>
          <a:off x="4248150" y="384905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199</xdr:row>
      <xdr:rowOff>104775</xdr:rowOff>
    </xdr:from>
    <xdr:to>
      <xdr:col>5</xdr:col>
      <xdr:colOff>857250</xdr:colOff>
      <xdr:row>199</xdr:row>
      <xdr:rowOff>104776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CxnSpPr/>
      </xdr:nvCxnSpPr>
      <xdr:spPr>
        <a:xfrm>
          <a:off x="4248150" y="386810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200</xdr:row>
      <xdr:rowOff>104775</xdr:rowOff>
    </xdr:from>
    <xdr:to>
      <xdr:col>5</xdr:col>
      <xdr:colOff>857250</xdr:colOff>
      <xdr:row>200</xdr:row>
      <xdr:rowOff>104776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CxnSpPr/>
      </xdr:nvCxnSpPr>
      <xdr:spPr>
        <a:xfrm>
          <a:off x="4248150" y="388715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202</xdr:row>
      <xdr:rowOff>104775</xdr:rowOff>
    </xdr:from>
    <xdr:to>
      <xdr:col>5</xdr:col>
      <xdr:colOff>857250</xdr:colOff>
      <xdr:row>202</xdr:row>
      <xdr:rowOff>104776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/>
      </xdr:nvCxnSpPr>
      <xdr:spPr>
        <a:xfrm>
          <a:off x="4248150" y="392525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277</xdr:row>
      <xdr:rowOff>104775</xdr:rowOff>
    </xdr:from>
    <xdr:to>
      <xdr:col>4</xdr:col>
      <xdr:colOff>857250</xdr:colOff>
      <xdr:row>277</xdr:row>
      <xdr:rowOff>104776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CxnSpPr/>
      </xdr:nvCxnSpPr>
      <xdr:spPr>
        <a:xfrm>
          <a:off x="3343275" y="53692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301</xdr:row>
      <xdr:rowOff>104775</xdr:rowOff>
    </xdr:from>
    <xdr:to>
      <xdr:col>4</xdr:col>
      <xdr:colOff>857250</xdr:colOff>
      <xdr:row>301</xdr:row>
      <xdr:rowOff>104776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CxnSpPr/>
      </xdr:nvCxnSpPr>
      <xdr:spPr>
        <a:xfrm>
          <a:off x="3343275" y="58264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495300</xdr:colOff>
      <xdr:row>307</xdr:row>
      <xdr:rowOff>28575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SpPr txBox="1"/>
          </xdr:nvSpPr>
          <xdr:spPr>
            <a:xfrm>
              <a:off x="3314700" y="59340750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3314700" y="59340750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4</xdr:col>
      <xdr:colOff>476250</xdr:colOff>
      <xdr:row>306</xdr:row>
      <xdr:rowOff>161925</xdr:rowOff>
    </xdr:from>
    <xdr:to>
      <xdr:col>6</xdr:col>
      <xdr:colOff>628650</xdr:colOff>
      <xdr:row>309</xdr:row>
      <xdr:rowOff>38100</xdr:rowOff>
    </xdr:to>
    <xdr:sp macro="" textlink="">
      <xdr:nvSpPr>
        <xdr:cNvPr id="51" name="Rectángulo redondeado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/>
      </xdr:nvSpPr>
      <xdr:spPr>
        <a:xfrm>
          <a:off x="3295650" y="59274075"/>
          <a:ext cx="1952625" cy="4572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310</xdr:row>
      <xdr:rowOff>104775</xdr:rowOff>
    </xdr:from>
    <xdr:to>
      <xdr:col>5</xdr:col>
      <xdr:colOff>228600</xdr:colOff>
      <xdr:row>310</xdr:row>
      <xdr:rowOff>104776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CxnSpPr/>
      </xdr:nvCxnSpPr>
      <xdr:spPr>
        <a:xfrm>
          <a:off x="3609975" y="59988450"/>
          <a:ext cx="34290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259</xdr:row>
      <xdr:rowOff>104775</xdr:rowOff>
    </xdr:from>
    <xdr:to>
      <xdr:col>4</xdr:col>
      <xdr:colOff>857250</xdr:colOff>
      <xdr:row>259</xdr:row>
      <xdr:rowOff>104776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CxnSpPr/>
      </xdr:nvCxnSpPr>
      <xdr:spPr>
        <a:xfrm>
          <a:off x="3343275" y="50263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260</xdr:row>
      <xdr:rowOff>114300</xdr:rowOff>
    </xdr:from>
    <xdr:to>
      <xdr:col>4</xdr:col>
      <xdr:colOff>857250</xdr:colOff>
      <xdr:row>260</xdr:row>
      <xdr:rowOff>114301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CxnSpPr/>
      </xdr:nvCxnSpPr>
      <xdr:spPr>
        <a:xfrm>
          <a:off x="3343275" y="50463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221</xdr:row>
      <xdr:rowOff>104775</xdr:rowOff>
    </xdr:from>
    <xdr:to>
      <xdr:col>4</xdr:col>
      <xdr:colOff>142875</xdr:colOff>
      <xdr:row>221</xdr:row>
      <xdr:rowOff>104776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/>
      </xdr:nvCxnSpPr>
      <xdr:spPr>
        <a:xfrm>
          <a:off x="2647950" y="4289107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95250</xdr:colOff>
      <xdr:row>218</xdr:row>
      <xdr:rowOff>152400</xdr:rowOff>
    </xdr:from>
    <xdr:to>
      <xdr:col>6</xdr:col>
      <xdr:colOff>600075</xdr:colOff>
      <xdr:row>222</xdr:row>
      <xdr:rowOff>114300</xdr:rowOff>
    </xdr:to>
    <xdr:sp macro="" textlink="">
      <xdr:nvSpPr>
        <xdr:cNvPr id="56" name="Rectángulo redondeado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/>
      </xdr:nvSpPr>
      <xdr:spPr>
        <a:xfrm>
          <a:off x="609600" y="42367200"/>
          <a:ext cx="4610100" cy="7334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885826</xdr:colOff>
      <xdr:row>188</xdr:row>
      <xdr:rowOff>47624</xdr:rowOff>
    </xdr:from>
    <xdr:to>
      <xdr:col>8</xdr:col>
      <xdr:colOff>9526</xdr:colOff>
      <xdr:row>190</xdr:row>
      <xdr:rowOff>171449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/>
      </xdr:nvSpPr>
      <xdr:spPr>
        <a:xfrm>
          <a:off x="4610101" y="36509324"/>
          <a:ext cx="1524000" cy="5048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28576</xdr:colOff>
      <xdr:row>65</xdr:row>
      <xdr:rowOff>161924</xdr:rowOff>
    </xdr:from>
    <xdr:to>
      <xdr:col>7</xdr:col>
      <xdr:colOff>704850</xdr:colOff>
      <xdr:row>68</xdr:row>
      <xdr:rowOff>19049</xdr:rowOff>
    </xdr:to>
    <xdr:sp macro="" textlink="">
      <xdr:nvSpPr>
        <xdr:cNvPr id="58" name="Rectángulo redondeado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/>
      </xdr:nvSpPr>
      <xdr:spPr>
        <a:xfrm>
          <a:off x="3752851" y="12611099"/>
          <a:ext cx="2352674" cy="4286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457200</xdr:colOff>
      <xdr:row>68</xdr:row>
      <xdr:rowOff>19050</xdr:rowOff>
    </xdr:from>
    <xdr:to>
      <xdr:col>5</xdr:col>
      <xdr:colOff>457201</xdr:colOff>
      <xdr:row>68</xdr:row>
      <xdr:rowOff>180975</xdr:rowOff>
    </xdr:to>
    <xdr:cxnSp macro="">
      <xdr:nvCxnSpPr>
        <xdr:cNvPr id="59" name="Conector recto de flecha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CxnSpPr/>
      </xdr:nvCxnSpPr>
      <xdr:spPr>
        <a:xfrm>
          <a:off x="4181475" y="13039725"/>
          <a:ext cx="1" cy="1619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885825</xdr:colOff>
      <xdr:row>75</xdr:row>
      <xdr:rowOff>142876</xdr:rowOff>
    </xdr:from>
    <xdr:to>
      <xdr:col>7</xdr:col>
      <xdr:colOff>714374</xdr:colOff>
      <xdr:row>77</xdr:row>
      <xdr:rowOff>47626</xdr:rowOff>
    </xdr:to>
    <xdr:sp macro="" textlink="">
      <xdr:nvSpPr>
        <xdr:cNvPr id="60" name="Rectángulo redondeado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/>
      </xdr:nvSpPr>
      <xdr:spPr>
        <a:xfrm>
          <a:off x="3705225" y="14497051"/>
          <a:ext cx="2409824" cy="28575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457200</xdr:colOff>
      <xdr:row>77</xdr:row>
      <xdr:rowOff>47625</xdr:rowOff>
    </xdr:from>
    <xdr:to>
      <xdr:col>5</xdr:col>
      <xdr:colOff>457200</xdr:colOff>
      <xdr:row>79</xdr:row>
      <xdr:rowOff>0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CxnSpPr/>
      </xdr:nvCxnSpPr>
      <xdr:spPr>
        <a:xfrm>
          <a:off x="4181475" y="14782800"/>
          <a:ext cx="0" cy="33337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191</xdr:row>
      <xdr:rowOff>19050</xdr:rowOff>
    </xdr:from>
    <xdr:to>
      <xdr:col>8</xdr:col>
      <xdr:colOff>19050</xdr:colOff>
      <xdr:row>209</xdr:row>
      <xdr:rowOff>104775</xdr:rowOff>
    </xdr:to>
    <xdr:sp macro="" textlink="">
      <xdr:nvSpPr>
        <xdr:cNvPr id="62" name="Rectángulo redondeado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/>
      </xdr:nvSpPr>
      <xdr:spPr>
        <a:xfrm>
          <a:off x="19050" y="37052250"/>
          <a:ext cx="6124575" cy="35337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361950</xdr:colOff>
      <xdr:row>190</xdr:row>
      <xdr:rowOff>171450</xdr:rowOff>
    </xdr:from>
    <xdr:to>
      <xdr:col>6</xdr:col>
      <xdr:colOff>361950</xdr:colOff>
      <xdr:row>194</xdr:row>
      <xdr:rowOff>0</xdr:rowOff>
    </xdr:to>
    <xdr:cxnSp macro="">
      <xdr:nvCxnSpPr>
        <xdr:cNvPr id="63" name="Conector recto de flecha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CxnSpPr/>
      </xdr:nvCxnSpPr>
      <xdr:spPr>
        <a:xfrm>
          <a:off x="4981575" y="37014150"/>
          <a:ext cx="0" cy="5905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205</xdr:row>
      <xdr:rowOff>104775</xdr:rowOff>
    </xdr:from>
    <xdr:to>
      <xdr:col>5</xdr:col>
      <xdr:colOff>857250</xdr:colOff>
      <xdr:row>205</xdr:row>
      <xdr:rowOff>104776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CxnSpPr/>
      </xdr:nvCxnSpPr>
      <xdr:spPr>
        <a:xfrm>
          <a:off x="4248150" y="398240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206</xdr:row>
      <xdr:rowOff>104775</xdr:rowOff>
    </xdr:from>
    <xdr:to>
      <xdr:col>5</xdr:col>
      <xdr:colOff>857250</xdr:colOff>
      <xdr:row>206</xdr:row>
      <xdr:rowOff>104776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CxnSpPr/>
      </xdr:nvCxnSpPr>
      <xdr:spPr>
        <a:xfrm>
          <a:off x="4248150" y="400145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207</xdr:row>
      <xdr:rowOff>104775</xdr:rowOff>
    </xdr:from>
    <xdr:to>
      <xdr:col>5</xdr:col>
      <xdr:colOff>857250</xdr:colOff>
      <xdr:row>207</xdr:row>
      <xdr:rowOff>104776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CxnSpPr/>
      </xdr:nvCxnSpPr>
      <xdr:spPr>
        <a:xfrm>
          <a:off x="4248150" y="402050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201</xdr:row>
      <xdr:rowOff>104775</xdr:rowOff>
    </xdr:from>
    <xdr:to>
      <xdr:col>5</xdr:col>
      <xdr:colOff>857250</xdr:colOff>
      <xdr:row>201</xdr:row>
      <xdr:rowOff>104776</xdr:rowOff>
    </xdr:to>
    <xdr:cxnSp macro="">
      <xdr:nvCxnSpPr>
        <xdr:cNvPr id="67" name="Conector recto de flecha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CxnSpPr/>
      </xdr:nvCxnSpPr>
      <xdr:spPr>
        <a:xfrm>
          <a:off x="4248150" y="390620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281</xdr:row>
      <xdr:rowOff>104775</xdr:rowOff>
    </xdr:from>
    <xdr:to>
      <xdr:col>4</xdr:col>
      <xdr:colOff>857250</xdr:colOff>
      <xdr:row>281</xdr:row>
      <xdr:rowOff>104776</xdr:rowOff>
    </xdr:to>
    <xdr:cxnSp macro="">
      <xdr:nvCxnSpPr>
        <xdr:cNvPr id="68" name="Conector recto de flecha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CxnSpPr/>
      </xdr:nvCxnSpPr>
      <xdr:spPr>
        <a:xfrm>
          <a:off x="3343275" y="54454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282</xdr:row>
      <xdr:rowOff>114300</xdr:rowOff>
    </xdr:from>
    <xdr:to>
      <xdr:col>4</xdr:col>
      <xdr:colOff>857250</xdr:colOff>
      <xdr:row>282</xdr:row>
      <xdr:rowOff>114301</xdr:rowOff>
    </xdr:to>
    <xdr:cxnSp macro="">
      <xdr:nvCxnSpPr>
        <xdr:cNvPr id="69" name="Conector recto de flecha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CxnSpPr/>
      </xdr:nvCxnSpPr>
      <xdr:spPr>
        <a:xfrm>
          <a:off x="3343275" y="54654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283</xdr:row>
      <xdr:rowOff>104775</xdr:rowOff>
    </xdr:from>
    <xdr:to>
      <xdr:col>4</xdr:col>
      <xdr:colOff>857250</xdr:colOff>
      <xdr:row>283</xdr:row>
      <xdr:rowOff>104776</xdr:rowOff>
    </xdr:to>
    <xdr:cxnSp macro="">
      <xdr:nvCxnSpPr>
        <xdr:cNvPr id="70" name="Conector recto de flecha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CxnSpPr/>
      </xdr:nvCxnSpPr>
      <xdr:spPr>
        <a:xfrm>
          <a:off x="3343275" y="54835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296</xdr:row>
      <xdr:rowOff>104775</xdr:rowOff>
    </xdr:from>
    <xdr:to>
      <xdr:col>4</xdr:col>
      <xdr:colOff>857250</xdr:colOff>
      <xdr:row>296</xdr:row>
      <xdr:rowOff>104776</xdr:rowOff>
    </xdr:to>
    <xdr:cxnSp macro="">
      <xdr:nvCxnSpPr>
        <xdr:cNvPr id="71" name="Conector recto de flecha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CxnSpPr/>
      </xdr:nvCxnSpPr>
      <xdr:spPr>
        <a:xfrm>
          <a:off x="3343275" y="57311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295</xdr:row>
      <xdr:rowOff>104775</xdr:rowOff>
    </xdr:from>
    <xdr:to>
      <xdr:col>4</xdr:col>
      <xdr:colOff>857250</xdr:colOff>
      <xdr:row>295</xdr:row>
      <xdr:rowOff>104776</xdr:rowOff>
    </xdr:to>
    <xdr:cxnSp macro="">
      <xdr:nvCxnSpPr>
        <xdr:cNvPr id="72" name="Conector recto de flecha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CxnSpPr/>
      </xdr:nvCxnSpPr>
      <xdr:spPr>
        <a:xfrm>
          <a:off x="3343275" y="57121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263</xdr:row>
      <xdr:rowOff>104775</xdr:rowOff>
    </xdr:from>
    <xdr:to>
      <xdr:col>4</xdr:col>
      <xdr:colOff>857250</xdr:colOff>
      <xdr:row>263</xdr:row>
      <xdr:rowOff>104776</xdr:rowOff>
    </xdr:to>
    <xdr:cxnSp macro="">
      <xdr:nvCxnSpPr>
        <xdr:cNvPr id="73" name="Conector recto de flecha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CxnSpPr/>
      </xdr:nvCxnSpPr>
      <xdr:spPr>
        <a:xfrm>
          <a:off x="3343275" y="51025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264</xdr:row>
      <xdr:rowOff>104775</xdr:rowOff>
    </xdr:from>
    <xdr:to>
      <xdr:col>4</xdr:col>
      <xdr:colOff>857250</xdr:colOff>
      <xdr:row>264</xdr:row>
      <xdr:rowOff>104776</xdr:rowOff>
    </xdr:to>
    <xdr:cxnSp macro="">
      <xdr:nvCxnSpPr>
        <xdr:cNvPr id="74" name="Conector recto de flecha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CxnSpPr/>
      </xdr:nvCxnSpPr>
      <xdr:spPr>
        <a:xfrm>
          <a:off x="3343275" y="51215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268</xdr:row>
      <xdr:rowOff>104775</xdr:rowOff>
    </xdr:from>
    <xdr:to>
      <xdr:col>4</xdr:col>
      <xdr:colOff>857250</xdr:colOff>
      <xdr:row>268</xdr:row>
      <xdr:rowOff>104776</xdr:rowOff>
    </xdr:to>
    <xdr:cxnSp macro="">
      <xdr:nvCxnSpPr>
        <xdr:cNvPr id="75" name="Conector recto de flecha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CxnSpPr/>
      </xdr:nvCxnSpPr>
      <xdr:spPr>
        <a:xfrm>
          <a:off x="3343275" y="51977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269</xdr:row>
      <xdr:rowOff>104775</xdr:rowOff>
    </xdr:from>
    <xdr:to>
      <xdr:col>4</xdr:col>
      <xdr:colOff>857250</xdr:colOff>
      <xdr:row>269</xdr:row>
      <xdr:rowOff>104776</xdr:rowOff>
    </xdr:to>
    <xdr:cxnSp macro="">
      <xdr:nvCxnSpPr>
        <xdr:cNvPr id="76" name="Conector recto de flecha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>
          <a:off x="3343275" y="52168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302</xdr:row>
      <xdr:rowOff>104775</xdr:rowOff>
    </xdr:from>
    <xdr:to>
      <xdr:col>4</xdr:col>
      <xdr:colOff>857250</xdr:colOff>
      <xdr:row>302</xdr:row>
      <xdr:rowOff>104776</xdr:rowOff>
    </xdr:to>
    <xdr:cxnSp macro="">
      <xdr:nvCxnSpPr>
        <xdr:cNvPr id="77" name="Conector recto de flecha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CxnSpPr/>
      </xdr:nvCxnSpPr>
      <xdr:spPr>
        <a:xfrm>
          <a:off x="3343275" y="58454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581025</xdr:colOff>
      <xdr:row>2</xdr:row>
      <xdr:rowOff>38100</xdr:rowOff>
    </xdr:from>
    <xdr:to>
      <xdr:col>5</xdr:col>
      <xdr:colOff>314044</xdr:colOff>
      <xdr:row>12</xdr:row>
      <xdr:rowOff>180975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41"/>
        <a:stretch/>
      </xdr:blipFill>
      <xdr:spPr>
        <a:xfrm>
          <a:off x="1790700" y="419100"/>
          <a:ext cx="2247619" cy="2047875"/>
        </a:xfrm>
        <a:prstGeom prst="rect">
          <a:avLst/>
        </a:prstGeom>
      </xdr:spPr>
    </xdr:pic>
    <xdr:clientData/>
  </xdr:twoCellAnchor>
  <xdr:twoCellAnchor>
    <xdr:from>
      <xdr:col>3</xdr:col>
      <xdr:colOff>723900</xdr:colOff>
      <xdr:row>14</xdr:row>
      <xdr:rowOff>142875</xdr:rowOff>
    </xdr:from>
    <xdr:to>
      <xdr:col>7</xdr:col>
      <xdr:colOff>171450</xdr:colOff>
      <xdr:row>16</xdr:row>
      <xdr:rowOff>66675</xdr:rowOff>
    </xdr:to>
    <xdr:sp macro="" textlink="">
      <xdr:nvSpPr>
        <xdr:cNvPr id="79" name="Rectángulo redondeado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/>
      </xdr:nvSpPr>
      <xdr:spPr>
        <a:xfrm>
          <a:off x="2743200" y="2819400"/>
          <a:ext cx="28289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687705</xdr:colOff>
      <xdr:row>38</xdr:row>
      <xdr:rowOff>180974</xdr:rowOff>
    </xdr:from>
    <xdr:to>
      <xdr:col>2</xdr:col>
      <xdr:colOff>57150</xdr:colOff>
      <xdr:row>40</xdr:row>
      <xdr:rowOff>47625</xdr:rowOff>
    </xdr:to>
    <xdr:sp macro="" textlink="">
      <xdr:nvSpPr>
        <xdr:cNvPr id="80" name="Abrir llav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/>
      </xdr:nvSpPr>
      <xdr:spPr>
        <a:xfrm>
          <a:off x="1202055" y="7477124"/>
          <a:ext cx="64770" cy="247651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333375</xdr:colOff>
      <xdr:row>47</xdr:row>
      <xdr:rowOff>104775</xdr:rowOff>
    </xdr:from>
    <xdr:to>
      <xdr:col>1</xdr:col>
      <xdr:colOff>685800</xdr:colOff>
      <xdr:row>48</xdr:row>
      <xdr:rowOff>133351</xdr:rowOff>
    </xdr:to>
    <xdr:sp macro="" textlink="">
      <xdr:nvSpPr>
        <xdr:cNvPr id="81" name="Flecha derecha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/>
      </xdr:nvSpPr>
      <xdr:spPr>
        <a:xfrm>
          <a:off x="847725" y="912495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0</xdr:colOff>
      <xdr:row>49</xdr:row>
      <xdr:rowOff>0</xdr:rowOff>
    </xdr:from>
    <xdr:to>
      <xdr:col>4</xdr:col>
      <xdr:colOff>0</xdr:colOff>
      <xdr:row>50</xdr:row>
      <xdr:rowOff>47625</xdr:rowOff>
    </xdr:to>
    <xdr:cxnSp macro="">
      <xdr:nvCxnSpPr>
        <xdr:cNvPr id="82" name="Conector recto de flecha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CxnSpPr/>
      </xdr:nvCxnSpPr>
      <xdr:spPr>
        <a:xfrm>
          <a:off x="2819400" y="9401175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809625</xdr:colOff>
      <xdr:row>44</xdr:row>
      <xdr:rowOff>0</xdr:rowOff>
    </xdr:from>
    <xdr:to>
      <xdr:col>8</xdr:col>
      <xdr:colOff>104775</xdr:colOff>
      <xdr:row>46</xdr:row>
      <xdr:rowOff>28575</xdr:rowOff>
    </xdr:to>
    <xdr:sp macro="" textlink="">
      <xdr:nvSpPr>
        <xdr:cNvPr id="83" name="Rectángulo redondeado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4533900" y="8439150"/>
          <a:ext cx="1695450" cy="4191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542925</xdr:colOff>
      <xdr:row>45</xdr:row>
      <xdr:rowOff>28575</xdr:rowOff>
    </xdr:from>
    <xdr:to>
      <xdr:col>5</xdr:col>
      <xdr:colOff>819151</xdr:colOff>
      <xdr:row>45</xdr:row>
      <xdr:rowOff>33338</xdr:rowOff>
    </xdr:to>
    <xdr:cxnSp macro="">
      <xdr:nvCxnSpPr>
        <xdr:cNvPr id="84" name="Conector recto de flecha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CxnSpPr/>
      </xdr:nvCxnSpPr>
      <xdr:spPr>
        <a:xfrm flipH="1" flipV="1">
          <a:off x="4267200" y="8658225"/>
          <a:ext cx="276226" cy="4763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9527</xdr:colOff>
      <xdr:row>148</xdr:row>
      <xdr:rowOff>104775</xdr:rowOff>
    </xdr:from>
    <xdr:to>
      <xdr:col>5</xdr:col>
      <xdr:colOff>219075</xdr:colOff>
      <xdr:row>148</xdr:row>
      <xdr:rowOff>104776</xdr:rowOff>
    </xdr:to>
    <xdr:cxnSp macro="">
      <xdr:nvCxnSpPr>
        <xdr:cNvPr id="85" name="Conector recto de flecha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CxnSpPr/>
      </xdr:nvCxnSpPr>
      <xdr:spPr>
        <a:xfrm flipH="1">
          <a:off x="3733802" y="2894647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148</xdr:row>
      <xdr:rowOff>0</xdr:rowOff>
    </xdr:from>
    <xdr:to>
      <xdr:col>1</xdr:col>
      <xdr:colOff>38100</xdr:colOff>
      <xdr:row>149</xdr:row>
      <xdr:rowOff>28576</xdr:rowOff>
    </xdr:to>
    <xdr:sp macro="" textlink="">
      <xdr:nvSpPr>
        <xdr:cNvPr id="86" name="Flecha derecha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>
          <a:off x="200025" y="2884170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19051</xdr:colOff>
      <xdr:row>182</xdr:row>
      <xdr:rowOff>95250</xdr:rowOff>
    </xdr:from>
    <xdr:to>
      <xdr:col>4</xdr:col>
      <xdr:colOff>219075</xdr:colOff>
      <xdr:row>182</xdr:row>
      <xdr:rowOff>95251</xdr:rowOff>
    </xdr:to>
    <xdr:cxnSp macro="">
      <xdr:nvCxnSpPr>
        <xdr:cNvPr id="87" name="Conector recto de flecha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CxnSpPr/>
      </xdr:nvCxnSpPr>
      <xdr:spPr>
        <a:xfrm flipH="1">
          <a:off x="2838451" y="35413950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180</xdr:row>
      <xdr:rowOff>104775</xdr:rowOff>
    </xdr:from>
    <xdr:to>
      <xdr:col>4</xdr:col>
      <xdr:colOff>352425</xdr:colOff>
      <xdr:row>180</xdr:row>
      <xdr:rowOff>104776</xdr:rowOff>
    </xdr:to>
    <xdr:cxnSp macro="">
      <xdr:nvCxnSpPr>
        <xdr:cNvPr id="88" name="Conector recto de flecha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CxnSpPr/>
      </xdr:nvCxnSpPr>
      <xdr:spPr>
        <a:xfrm flipV="1">
          <a:off x="2857500" y="3504247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182</xdr:row>
      <xdr:rowOff>0</xdr:rowOff>
    </xdr:from>
    <xdr:to>
      <xdr:col>1</xdr:col>
      <xdr:colOff>0</xdr:colOff>
      <xdr:row>183</xdr:row>
      <xdr:rowOff>28576</xdr:rowOff>
    </xdr:to>
    <xdr:sp macro="" textlink="">
      <xdr:nvSpPr>
        <xdr:cNvPr id="89" name="Flecha derecha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/>
      </xdr:nvSpPr>
      <xdr:spPr>
        <a:xfrm>
          <a:off x="161925" y="3531870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419101</xdr:colOff>
      <xdr:row>359</xdr:row>
      <xdr:rowOff>142875</xdr:rowOff>
    </xdr:from>
    <xdr:to>
      <xdr:col>5</xdr:col>
      <xdr:colOff>228600</xdr:colOff>
      <xdr:row>362</xdr:row>
      <xdr:rowOff>85725</xdr:rowOff>
    </xdr:to>
    <xdr:sp macro="" textlink="">
      <xdr:nvSpPr>
        <xdr:cNvPr id="90" name="Rectángulo redondeado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/>
      </xdr:nvSpPr>
      <xdr:spPr>
        <a:xfrm>
          <a:off x="1628776" y="69703950"/>
          <a:ext cx="23240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424</xdr:row>
      <xdr:rowOff>142875</xdr:rowOff>
    </xdr:from>
    <xdr:to>
      <xdr:col>5</xdr:col>
      <xdr:colOff>228600</xdr:colOff>
      <xdr:row>427</xdr:row>
      <xdr:rowOff>85725</xdr:rowOff>
    </xdr:to>
    <xdr:sp macro="" textlink="">
      <xdr:nvSpPr>
        <xdr:cNvPr id="91" name="Rectángulo redondeado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>
          <a:off x="1628776" y="82210275"/>
          <a:ext cx="23240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444</xdr:row>
      <xdr:rowOff>142875</xdr:rowOff>
    </xdr:from>
    <xdr:to>
      <xdr:col>5</xdr:col>
      <xdr:colOff>228600</xdr:colOff>
      <xdr:row>447</xdr:row>
      <xdr:rowOff>85725</xdr:rowOff>
    </xdr:to>
    <xdr:sp macro="" textlink="">
      <xdr:nvSpPr>
        <xdr:cNvPr id="92" name="Rectángulo redondeado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1628776" y="86067900"/>
          <a:ext cx="23240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20</xdr:row>
      <xdr:rowOff>19050</xdr:rowOff>
    </xdr:from>
    <xdr:to>
      <xdr:col>2</xdr:col>
      <xdr:colOff>19050</xdr:colOff>
      <xdr:row>37</xdr:row>
      <xdr:rowOff>66675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133475" y="3838575"/>
          <a:ext cx="133350" cy="333375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647701</xdr:colOff>
      <xdr:row>43</xdr:row>
      <xdr:rowOff>171451</xdr:rowOff>
    </xdr:from>
    <xdr:to>
      <xdr:col>2</xdr:col>
      <xdr:colOff>38100</xdr:colOff>
      <xdr:row>46</xdr:row>
      <xdr:rowOff>38100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00151" y="8420101"/>
          <a:ext cx="85724" cy="4476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704850</xdr:colOff>
      <xdr:row>112</xdr:row>
      <xdr:rowOff>0</xdr:rowOff>
    </xdr:from>
    <xdr:to>
      <xdr:col>2</xdr:col>
      <xdr:colOff>66675</xdr:colOff>
      <xdr:row>114</xdr:row>
      <xdr:rowOff>0</xdr:rowOff>
    </xdr:to>
    <xdr:sp macro="" textlink="">
      <xdr:nvSpPr>
        <xdr:cNvPr id="4" name="Abrir llav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47775" y="21945600"/>
          <a:ext cx="66675" cy="3810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619126</xdr:colOff>
      <xdr:row>54</xdr:row>
      <xdr:rowOff>28574</xdr:rowOff>
    </xdr:from>
    <xdr:to>
      <xdr:col>2</xdr:col>
      <xdr:colOff>1</xdr:colOff>
      <xdr:row>85</xdr:row>
      <xdr:rowOff>180974</xdr:rowOff>
    </xdr:to>
    <xdr:sp macro="" textlink="">
      <xdr:nvSpPr>
        <xdr:cNvPr id="5" name="Abrir llav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71576" y="10382249"/>
          <a:ext cx="76200" cy="6067425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685799</xdr:colOff>
      <xdr:row>89</xdr:row>
      <xdr:rowOff>180976</xdr:rowOff>
    </xdr:from>
    <xdr:to>
      <xdr:col>2</xdr:col>
      <xdr:colOff>85724</xdr:colOff>
      <xdr:row>93</xdr:row>
      <xdr:rowOff>0</xdr:rowOff>
    </xdr:to>
    <xdr:sp macro="" textlink="">
      <xdr:nvSpPr>
        <xdr:cNvPr id="6" name="Abrir llav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38249" y="17221201"/>
          <a:ext cx="95250" cy="61912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600075</xdr:colOff>
      <xdr:row>195</xdr:row>
      <xdr:rowOff>142873</xdr:rowOff>
    </xdr:from>
    <xdr:to>
      <xdr:col>2</xdr:col>
      <xdr:colOff>9525</xdr:colOff>
      <xdr:row>210</xdr:row>
      <xdr:rowOff>57150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2525" y="37957123"/>
          <a:ext cx="104775" cy="2790827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28575</xdr:colOff>
      <xdr:row>219</xdr:row>
      <xdr:rowOff>104775</xdr:rowOff>
    </xdr:from>
    <xdr:to>
      <xdr:col>4</xdr:col>
      <xdr:colOff>200025</xdr:colOff>
      <xdr:row>219</xdr:row>
      <xdr:rowOff>104776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828925" y="42519600"/>
          <a:ext cx="1714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228</xdr:row>
      <xdr:rowOff>104775</xdr:rowOff>
    </xdr:from>
    <xdr:to>
      <xdr:col>4</xdr:col>
      <xdr:colOff>857250</xdr:colOff>
      <xdr:row>228</xdr:row>
      <xdr:rowOff>104776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3324225" y="442626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229</xdr:row>
      <xdr:rowOff>114300</xdr:rowOff>
    </xdr:from>
    <xdr:to>
      <xdr:col>4</xdr:col>
      <xdr:colOff>857250</xdr:colOff>
      <xdr:row>229</xdr:row>
      <xdr:rowOff>114301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3324225" y="444722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230</xdr:row>
      <xdr:rowOff>104775</xdr:rowOff>
    </xdr:from>
    <xdr:to>
      <xdr:col>4</xdr:col>
      <xdr:colOff>857250</xdr:colOff>
      <xdr:row>230</xdr:row>
      <xdr:rowOff>104776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3324225" y="446627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231</xdr:row>
      <xdr:rowOff>104775</xdr:rowOff>
    </xdr:from>
    <xdr:to>
      <xdr:col>4</xdr:col>
      <xdr:colOff>857250</xdr:colOff>
      <xdr:row>231</xdr:row>
      <xdr:rowOff>104776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/>
      </xdr:nvCxnSpPr>
      <xdr:spPr>
        <a:xfrm>
          <a:off x="3324225" y="448627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236</xdr:row>
      <xdr:rowOff>104775</xdr:rowOff>
    </xdr:from>
    <xdr:to>
      <xdr:col>4</xdr:col>
      <xdr:colOff>857250</xdr:colOff>
      <xdr:row>236</xdr:row>
      <xdr:rowOff>104776</xdr:rowOff>
    </xdr:to>
    <xdr:cxnSp macro="">
      <xdr:nvCxnSpPr>
        <xdr:cNvPr id="13" name="Conector recto de flecha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>
          <a:off x="3324225" y="458247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237</xdr:row>
      <xdr:rowOff>114300</xdr:rowOff>
    </xdr:from>
    <xdr:to>
      <xdr:col>4</xdr:col>
      <xdr:colOff>857250</xdr:colOff>
      <xdr:row>237</xdr:row>
      <xdr:rowOff>114301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CxnSpPr/>
      </xdr:nvCxnSpPr>
      <xdr:spPr>
        <a:xfrm>
          <a:off x="3324225" y="460248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238</xdr:row>
      <xdr:rowOff>104775</xdr:rowOff>
    </xdr:from>
    <xdr:to>
      <xdr:col>4</xdr:col>
      <xdr:colOff>857250</xdr:colOff>
      <xdr:row>238</xdr:row>
      <xdr:rowOff>104776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3324225" y="462153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239</xdr:row>
      <xdr:rowOff>104775</xdr:rowOff>
    </xdr:from>
    <xdr:to>
      <xdr:col>4</xdr:col>
      <xdr:colOff>857250</xdr:colOff>
      <xdr:row>239</xdr:row>
      <xdr:rowOff>104776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3324225" y="464153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246</xdr:row>
      <xdr:rowOff>104775</xdr:rowOff>
    </xdr:from>
    <xdr:to>
      <xdr:col>4</xdr:col>
      <xdr:colOff>857250</xdr:colOff>
      <xdr:row>246</xdr:row>
      <xdr:rowOff>104776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3324225" y="47767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247</xdr:row>
      <xdr:rowOff>104775</xdr:rowOff>
    </xdr:from>
    <xdr:to>
      <xdr:col>4</xdr:col>
      <xdr:colOff>857250</xdr:colOff>
      <xdr:row>247</xdr:row>
      <xdr:rowOff>104776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3324225" y="479679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248</xdr:row>
      <xdr:rowOff>104775</xdr:rowOff>
    </xdr:from>
    <xdr:to>
      <xdr:col>4</xdr:col>
      <xdr:colOff>857250</xdr:colOff>
      <xdr:row>248</xdr:row>
      <xdr:rowOff>104776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/>
      </xdr:nvCxnSpPr>
      <xdr:spPr>
        <a:xfrm>
          <a:off x="3324225" y="48167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252</xdr:row>
      <xdr:rowOff>104775</xdr:rowOff>
    </xdr:from>
    <xdr:to>
      <xdr:col>4</xdr:col>
      <xdr:colOff>857250</xdr:colOff>
      <xdr:row>252</xdr:row>
      <xdr:rowOff>104776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324225" y="48939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253</xdr:row>
      <xdr:rowOff>104775</xdr:rowOff>
    </xdr:from>
    <xdr:to>
      <xdr:col>4</xdr:col>
      <xdr:colOff>857250</xdr:colOff>
      <xdr:row>253</xdr:row>
      <xdr:rowOff>104776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>
          <a:off x="3324225" y="49139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254</xdr:row>
      <xdr:rowOff>104775</xdr:rowOff>
    </xdr:from>
    <xdr:to>
      <xdr:col>4</xdr:col>
      <xdr:colOff>857250</xdr:colOff>
      <xdr:row>254</xdr:row>
      <xdr:rowOff>104776</xdr:rowOff>
    </xdr:to>
    <xdr:cxnSp macro="">
      <xdr:nvCxnSpPr>
        <xdr:cNvPr id="22" name="Conector recto de flecha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CxnSpPr/>
      </xdr:nvCxnSpPr>
      <xdr:spPr>
        <a:xfrm>
          <a:off x="3324225" y="49329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267</xdr:row>
      <xdr:rowOff>104775</xdr:rowOff>
    </xdr:from>
    <xdr:to>
      <xdr:col>4</xdr:col>
      <xdr:colOff>857250</xdr:colOff>
      <xdr:row>267</xdr:row>
      <xdr:rowOff>104776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/>
      </xdr:nvCxnSpPr>
      <xdr:spPr>
        <a:xfrm>
          <a:off x="3324225" y="51806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268</xdr:row>
      <xdr:rowOff>114300</xdr:rowOff>
    </xdr:from>
    <xdr:to>
      <xdr:col>4</xdr:col>
      <xdr:colOff>857250</xdr:colOff>
      <xdr:row>268</xdr:row>
      <xdr:rowOff>114301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/>
      </xdr:nvCxnSpPr>
      <xdr:spPr>
        <a:xfrm>
          <a:off x="3324225" y="52006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269</xdr:row>
      <xdr:rowOff>104775</xdr:rowOff>
    </xdr:from>
    <xdr:to>
      <xdr:col>4</xdr:col>
      <xdr:colOff>857250</xdr:colOff>
      <xdr:row>269</xdr:row>
      <xdr:rowOff>104776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>
          <a:off x="3324225" y="52187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275</xdr:row>
      <xdr:rowOff>104775</xdr:rowOff>
    </xdr:from>
    <xdr:to>
      <xdr:col>4</xdr:col>
      <xdr:colOff>857250</xdr:colOff>
      <xdr:row>275</xdr:row>
      <xdr:rowOff>104776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/>
      </xdr:nvCxnSpPr>
      <xdr:spPr>
        <a:xfrm>
          <a:off x="3324225" y="53330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276</xdr:row>
      <xdr:rowOff>114300</xdr:rowOff>
    </xdr:from>
    <xdr:to>
      <xdr:col>4</xdr:col>
      <xdr:colOff>857250</xdr:colOff>
      <xdr:row>276</xdr:row>
      <xdr:rowOff>114301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/>
      </xdr:nvCxnSpPr>
      <xdr:spPr>
        <a:xfrm>
          <a:off x="3324225" y="53530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277</xdr:row>
      <xdr:rowOff>104775</xdr:rowOff>
    </xdr:from>
    <xdr:to>
      <xdr:col>4</xdr:col>
      <xdr:colOff>857250</xdr:colOff>
      <xdr:row>277</xdr:row>
      <xdr:rowOff>104776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/>
      </xdr:nvCxnSpPr>
      <xdr:spPr>
        <a:xfrm>
          <a:off x="3324225" y="53711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278</xdr:row>
      <xdr:rowOff>104775</xdr:rowOff>
    </xdr:from>
    <xdr:to>
      <xdr:col>4</xdr:col>
      <xdr:colOff>857250</xdr:colOff>
      <xdr:row>278</xdr:row>
      <xdr:rowOff>104776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>
          <a:off x="3324225" y="53901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299</xdr:row>
      <xdr:rowOff>104775</xdr:rowOff>
    </xdr:from>
    <xdr:to>
      <xdr:col>4</xdr:col>
      <xdr:colOff>857250</xdr:colOff>
      <xdr:row>299</xdr:row>
      <xdr:rowOff>104776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CxnSpPr/>
      </xdr:nvCxnSpPr>
      <xdr:spPr>
        <a:xfrm>
          <a:off x="3324225" y="57902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300</xdr:row>
      <xdr:rowOff>114300</xdr:rowOff>
    </xdr:from>
    <xdr:to>
      <xdr:col>4</xdr:col>
      <xdr:colOff>857250</xdr:colOff>
      <xdr:row>300</xdr:row>
      <xdr:rowOff>114301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/>
      </xdr:nvCxnSpPr>
      <xdr:spPr>
        <a:xfrm>
          <a:off x="3324225" y="58102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301</xdr:row>
      <xdr:rowOff>104775</xdr:rowOff>
    </xdr:from>
    <xdr:to>
      <xdr:col>4</xdr:col>
      <xdr:colOff>857250</xdr:colOff>
      <xdr:row>301</xdr:row>
      <xdr:rowOff>104776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CxnSpPr/>
      </xdr:nvCxnSpPr>
      <xdr:spPr>
        <a:xfrm>
          <a:off x="3324225" y="58283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302</xdr:row>
      <xdr:rowOff>104775</xdr:rowOff>
    </xdr:from>
    <xdr:to>
      <xdr:col>4</xdr:col>
      <xdr:colOff>857250</xdr:colOff>
      <xdr:row>302</xdr:row>
      <xdr:rowOff>104776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/>
      </xdr:nvCxnSpPr>
      <xdr:spPr>
        <a:xfrm>
          <a:off x="3324225" y="58473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314325</xdr:colOff>
      <xdr:row>233</xdr:row>
      <xdr:rowOff>152399</xdr:rowOff>
    </xdr:from>
    <xdr:to>
      <xdr:col>7</xdr:col>
      <xdr:colOff>409575</xdr:colOff>
      <xdr:row>240</xdr:row>
      <xdr:rowOff>123823</xdr:rowOff>
    </xdr:to>
    <xdr:sp macro="" textlink="">
      <xdr:nvSpPr>
        <xdr:cNvPr id="34" name="Rectángulo redondeado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866775" y="45300899"/>
          <a:ext cx="4924425" cy="1333499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476250</xdr:colOff>
      <xdr:row>249</xdr:row>
      <xdr:rowOff>114299</xdr:rowOff>
    </xdr:from>
    <xdr:to>
      <xdr:col>7</xdr:col>
      <xdr:colOff>238126</xdr:colOff>
      <xdr:row>255</xdr:row>
      <xdr:rowOff>152399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1028700" y="48377474"/>
          <a:ext cx="4591051" cy="11906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447675</xdr:colOff>
      <xdr:row>288</xdr:row>
      <xdr:rowOff>57150</xdr:rowOff>
    </xdr:from>
    <xdr:to>
      <xdr:col>7</xdr:col>
      <xdr:colOff>266700</xdr:colOff>
      <xdr:row>305</xdr:row>
      <xdr:rowOff>171450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1000125" y="55759350"/>
          <a:ext cx="4648200" cy="3352800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523875</xdr:colOff>
      <xdr:row>33</xdr:row>
      <xdr:rowOff>104775</xdr:rowOff>
    </xdr:from>
    <xdr:to>
      <xdr:col>4</xdr:col>
      <xdr:colOff>857250</xdr:colOff>
      <xdr:row>33</xdr:row>
      <xdr:rowOff>104776</xdr:rowOff>
    </xdr:to>
    <xdr:cxnSp macro="">
      <xdr:nvCxnSpPr>
        <xdr:cNvPr id="37" name="Conector recto de flecha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CxnSpPr/>
      </xdr:nvCxnSpPr>
      <xdr:spPr>
        <a:xfrm>
          <a:off x="3324225" y="64103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34</xdr:row>
      <xdr:rowOff>114300</xdr:rowOff>
    </xdr:from>
    <xdr:to>
      <xdr:col>4</xdr:col>
      <xdr:colOff>857250</xdr:colOff>
      <xdr:row>34</xdr:row>
      <xdr:rowOff>114301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CxnSpPr/>
      </xdr:nvCxnSpPr>
      <xdr:spPr>
        <a:xfrm>
          <a:off x="3324225" y="6619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35</xdr:row>
      <xdr:rowOff>104775</xdr:rowOff>
    </xdr:from>
    <xdr:to>
      <xdr:col>4</xdr:col>
      <xdr:colOff>857250</xdr:colOff>
      <xdr:row>35</xdr:row>
      <xdr:rowOff>104776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/>
      </xdr:nvCxnSpPr>
      <xdr:spPr>
        <a:xfrm>
          <a:off x="3324225" y="68103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36</xdr:row>
      <xdr:rowOff>104775</xdr:rowOff>
    </xdr:from>
    <xdr:to>
      <xdr:col>4</xdr:col>
      <xdr:colOff>857250</xdr:colOff>
      <xdr:row>36</xdr:row>
      <xdr:rowOff>104776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3324225" y="7010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96</xdr:row>
      <xdr:rowOff>114300</xdr:rowOff>
    </xdr:from>
    <xdr:to>
      <xdr:col>2</xdr:col>
      <xdr:colOff>276225</xdr:colOff>
      <xdr:row>96</xdr:row>
      <xdr:rowOff>114301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>
          <a:off x="1285875" y="18526125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196</xdr:row>
      <xdr:rowOff>123825</xdr:rowOff>
    </xdr:from>
    <xdr:to>
      <xdr:col>6</xdr:col>
      <xdr:colOff>57150</xdr:colOff>
      <xdr:row>196</xdr:row>
      <xdr:rowOff>123826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CxnSpPr/>
      </xdr:nvCxnSpPr>
      <xdr:spPr>
        <a:xfrm>
          <a:off x="4429125" y="38128575"/>
          <a:ext cx="2190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197</xdr:row>
      <xdr:rowOff>114300</xdr:rowOff>
    </xdr:from>
    <xdr:to>
      <xdr:col>6</xdr:col>
      <xdr:colOff>47625</xdr:colOff>
      <xdr:row>197</xdr:row>
      <xdr:rowOff>114301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>
          <a:off x="4305300" y="38319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200</xdr:row>
      <xdr:rowOff>104775</xdr:rowOff>
    </xdr:from>
    <xdr:to>
      <xdr:col>5</xdr:col>
      <xdr:colOff>857250</xdr:colOff>
      <xdr:row>200</xdr:row>
      <xdr:rowOff>104776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>
          <a:off x="4219575" y="38890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201</xdr:row>
      <xdr:rowOff>104775</xdr:rowOff>
    </xdr:from>
    <xdr:to>
      <xdr:col>5</xdr:col>
      <xdr:colOff>857250</xdr:colOff>
      <xdr:row>201</xdr:row>
      <xdr:rowOff>104776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CxnSpPr/>
      </xdr:nvCxnSpPr>
      <xdr:spPr>
        <a:xfrm>
          <a:off x="4219575" y="39081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202</xdr:row>
      <xdr:rowOff>104775</xdr:rowOff>
    </xdr:from>
    <xdr:to>
      <xdr:col>5</xdr:col>
      <xdr:colOff>857250</xdr:colOff>
      <xdr:row>202</xdr:row>
      <xdr:rowOff>104776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CxnSpPr/>
      </xdr:nvCxnSpPr>
      <xdr:spPr>
        <a:xfrm>
          <a:off x="4219575" y="39271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204</xdr:row>
      <xdr:rowOff>104775</xdr:rowOff>
    </xdr:from>
    <xdr:to>
      <xdr:col>5</xdr:col>
      <xdr:colOff>857250</xdr:colOff>
      <xdr:row>204</xdr:row>
      <xdr:rowOff>104776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CxnSpPr/>
      </xdr:nvCxnSpPr>
      <xdr:spPr>
        <a:xfrm>
          <a:off x="4219575" y="39652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279</xdr:row>
      <xdr:rowOff>104775</xdr:rowOff>
    </xdr:from>
    <xdr:to>
      <xdr:col>4</xdr:col>
      <xdr:colOff>857250</xdr:colOff>
      <xdr:row>279</xdr:row>
      <xdr:rowOff>104776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CxnSpPr/>
      </xdr:nvCxnSpPr>
      <xdr:spPr>
        <a:xfrm>
          <a:off x="3324225" y="54092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303</xdr:row>
      <xdr:rowOff>104775</xdr:rowOff>
    </xdr:from>
    <xdr:to>
      <xdr:col>4</xdr:col>
      <xdr:colOff>857250</xdr:colOff>
      <xdr:row>303</xdr:row>
      <xdr:rowOff>104776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>
          <a:off x="3324225" y="58664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495300</xdr:colOff>
      <xdr:row>309</xdr:row>
      <xdr:rowOff>28575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00000000-0008-0000-0600-000032000000}"/>
                </a:ext>
              </a:extLst>
            </xdr:cNvPr>
            <xdr:cNvSpPr txBox="1"/>
          </xdr:nvSpPr>
          <xdr:spPr>
            <a:xfrm>
              <a:off x="3295650" y="59740800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3295650" y="59740800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4</xdr:col>
      <xdr:colOff>476250</xdr:colOff>
      <xdr:row>308</xdr:row>
      <xdr:rowOff>161925</xdr:rowOff>
    </xdr:from>
    <xdr:to>
      <xdr:col>6</xdr:col>
      <xdr:colOff>628650</xdr:colOff>
      <xdr:row>311</xdr:row>
      <xdr:rowOff>38100</xdr:rowOff>
    </xdr:to>
    <xdr:sp macro="" textlink="">
      <xdr:nvSpPr>
        <xdr:cNvPr id="51" name="Rectángulo redondeado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3276600" y="59674125"/>
          <a:ext cx="1943100" cy="4572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312</xdr:row>
      <xdr:rowOff>104775</xdr:rowOff>
    </xdr:from>
    <xdr:to>
      <xdr:col>5</xdr:col>
      <xdr:colOff>228600</xdr:colOff>
      <xdr:row>312</xdr:row>
      <xdr:rowOff>104776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CxnSpPr/>
      </xdr:nvCxnSpPr>
      <xdr:spPr>
        <a:xfrm>
          <a:off x="3590925" y="60388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261</xdr:row>
      <xdr:rowOff>104775</xdr:rowOff>
    </xdr:from>
    <xdr:to>
      <xdr:col>4</xdr:col>
      <xdr:colOff>857250</xdr:colOff>
      <xdr:row>261</xdr:row>
      <xdr:rowOff>104776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CxnSpPr/>
      </xdr:nvCxnSpPr>
      <xdr:spPr>
        <a:xfrm>
          <a:off x="3324225" y="50663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262</xdr:row>
      <xdr:rowOff>114300</xdr:rowOff>
    </xdr:from>
    <xdr:to>
      <xdr:col>4</xdr:col>
      <xdr:colOff>857250</xdr:colOff>
      <xdr:row>262</xdr:row>
      <xdr:rowOff>114301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CxnSpPr/>
      </xdr:nvCxnSpPr>
      <xdr:spPr>
        <a:xfrm>
          <a:off x="3324225" y="50863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223</xdr:row>
      <xdr:rowOff>104775</xdr:rowOff>
    </xdr:from>
    <xdr:to>
      <xdr:col>4</xdr:col>
      <xdr:colOff>142875</xdr:colOff>
      <xdr:row>223</xdr:row>
      <xdr:rowOff>104776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CxnSpPr/>
      </xdr:nvCxnSpPr>
      <xdr:spPr>
        <a:xfrm>
          <a:off x="2628900" y="4329112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220</xdr:row>
      <xdr:rowOff>152400</xdr:rowOff>
    </xdr:from>
    <xdr:to>
      <xdr:col>6</xdr:col>
      <xdr:colOff>523875</xdr:colOff>
      <xdr:row>224</xdr:row>
      <xdr:rowOff>114300</xdr:rowOff>
    </xdr:to>
    <xdr:sp macro="" textlink="">
      <xdr:nvSpPr>
        <xdr:cNvPr id="56" name="Rectángulo redondeado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/>
      </xdr:nvSpPr>
      <xdr:spPr>
        <a:xfrm>
          <a:off x="723900" y="42767250"/>
          <a:ext cx="4391025" cy="7334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885826</xdr:colOff>
      <xdr:row>190</xdr:row>
      <xdr:rowOff>47624</xdr:rowOff>
    </xdr:from>
    <xdr:to>
      <xdr:col>8</xdr:col>
      <xdr:colOff>9526</xdr:colOff>
      <xdr:row>192</xdr:row>
      <xdr:rowOff>171449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>
          <a:off x="4581526" y="36909374"/>
          <a:ext cx="1533525" cy="5048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28576</xdr:colOff>
      <xdr:row>65</xdr:row>
      <xdr:rowOff>161924</xdr:rowOff>
    </xdr:from>
    <xdr:to>
      <xdr:col>7</xdr:col>
      <xdr:colOff>704850</xdr:colOff>
      <xdr:row>68</xdr:row>
      <xdr:rowOff>19049</xdr:rowOff>
    </xdr:to>
    <xdr:sp macro="" textlink="">
      <xdr:nvSpPr>
        <xdr:cNvPr id="58" name="Rectángulo redondeado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/>
      </xdr:nvSpPr>
      <xdr:spPr>
        <a:xfrm>
          <a:off x="3724276" y="12611099"/>
          <a:ext cx="2362199" cy="4286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457200</xdr:colOff>
      <xdr:row>68</xdr:row>
      <xdr:rowOff>19050</xdr:rowOff>
    </xdr:from>
    <xdr:to>
      <xdr:col>5</xdr:col>
      <xdr:colOff>457201</xdr:colOff>
      <xdr:row>68</xdr:row>
      <xdr:rowOff>180975</xdr:rowOff>
    </xdr:to>
    <xdr:cxnSp macro="">
      <xdr:nvCxnSpPr>
        <xdr:cNvPr id="59" name="Conector recto de flecha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CxnSpPr/>
      </xdr:nvCxnSpPr>
      <xdr:spPr>
        <a:xfrm>
          <a:off x="4152900" y="13039725"/>
          <a:ext cx="1" cy="1619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885825</xdr:colOff>
      <xdr:row>75</xdr:row>
      <xdr:rowOff>142876</xdr:rowOff>
    </xdr:from>
    <xdr:to>
      <xdr:col>7</xdr:col>
      <xdr:colOff>714374</xdr:colOff>
      <xdr:row>77</xdr:row>
      <xdr:rowOff>47626</xdr:rowOff>
    </xdr:to>
    <xdr:sp macro="" textlink="">
      <xdr:nvSpPr>
        <xdr:cNvPr id="60" name="Rectángulo redondeado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/>
      </xdr:nvSpPr>
      <xdr:spPr>
        <a:xfrm>
          <a:off x="3686175" y="14497051"/>
          <a:ext cx="2409824" cy="28575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457200</xdr:colOff>
      <xdr:row>77</xdr:row>
      <xdr:rowOff>47625</xdr:rowOff>
    </xdr:from>
    <xdr:to>
      <xdr:col>5</xdr:col>
      <xdr:colOff>457200</xdr:colOff>
      <xdr:row>79</xdr:row>
      <xdr:rowOff>0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CxnSpPr/>
      </xdr:nvCxnSpPr>
      <xdr:spPr>
        <a:xfrm>
          <a:off x="4152900" y="14782800"/>
          <a:ext cx="0" cy="33337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193</xdr:row>
      <xdr:rowOff>19050</xdr:rowOff>
    </xdr:from>
    <xdr:to>
      <xdr:col>8</xdr:col>
      <xdr:colOff>19050</xdr:colOff>
      <xdr:row>211</xdr:row>
      <xdr:rowOff>104775</xdr:rowOff>
    </xdr:to>
    <xdr:sp macro="" textlink="">
      <xdr:nvSpPr>
        <xdr:cNvPr id="62" name="Rectángulo redondeado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/>
      </xdr:nvSpPr>
      <xdr:spPr>
        <a:xfrm>
          <a:off x="19050" y="37452300"/>
          <a:ext cx="6105525" cy="35337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361950</xdr:colOff>
      <xdr:row>192</xdr:row>
      <xdr:rowOff>171450</xdr:rowOff>
    </xdr:from>
    <xdr:to>
      <xdr:col>6</xdr:col>
      <xdr:colOff>361950</xdr:colOff>
      <xdr:row>196</xdr:row>
      <xdr:rowOff>0</xdr:rowOff>
    </xdr:to>
    <xdr:cxnSp macro="">
      <xdr:nvCxnSpPr>
        <xdr:cNvPr id="63" name="Conector recto de flecha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CxnSpPr/>
      </xdr:nvCxnSpPr>
      <xdr:spPr>
        <a:xfrm>
          <a:off x="4953000" y="37414200"/>
          <a:ext cx="0" cy="5905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207</xdr:row>
      <xdr:rowOff>104775</xdr:rowOff>
    </xdr:from>
    <xdr:to>
      <xdr:col>5</xdr:col>
      <xdr:colOff>857250</xdr:colOff>
      <xdr:row>207</xdr:row>
      <xdr:rowOff>104776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CxnSpPr/>
      </xdr:nvCxnSpPr>
      <xdr:spPr>
        <a:xfrm>
          <a:off x="4219575" y="40224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208</xdr:row>
      <xdr:rowOff>104775</xdr:rowOff>
    </xdr:from>
    <xdr:to>
      <xdr:col>5</xdr:col>
      <xdr:colOff>857250</xdr:colOff>
      <xdr:row>208</xdr:row>
      <xdr:rowOff>104776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CxnSpPr/>
      </xdr:nvCxnSpPr>
      <xdr:spPr>
        <a:xfrm>
          <a:off x="4219575" y="40414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209</xdr:row>
      <xdr:rowOff>104775</xdr:rowOff>
    </xdr:from>
    <xdr:to>
      <xdr:col>5</xdr:col>
      <xdr:colOff>857250</xdr:colOff>
      <xdr:row>209</xdr:row>
      <xdr:rowOff>104776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CxnSpPr/>
      </xdr:nvCxnSpPr>
      <xdr:spPr>
        <a:xfrm>
          <a:off x="4219575" y="40605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203</xdr:row>
      <xdr:rowOff>104775</xdr:rowOff>
    </xdr:from>
    <xdr:to>
      <xdr:col>5</xdr:col>
      <xdr:colOff>857250</xdr:colOff>
      <xdr:row>203</xdr:row>
      <xdr:rowOff>104776</xdr:rowOff>
    </xdr:to>
    <xdr:cxnSp macro="">
      <xdr:nvCxnSpPr>
        <xdr:cNvPr id="67" name="Conector recto de flecha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CxnSpPr/>
      </xdr:nvCxnSpPr>
      <xdr:spPr>
        <a:xfrm>
          <a:off x="4219575" y="39462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283</xdr:row>
      <xdr:rowOff>104775</xdr:rowOff>
    </xdr:from>
    <xdr:to>
      <xdr:col>4</xdr:col>
      <xdr:colOff>857250</xdr:colOff>
      <xdr:row>283</xdr:row>
      <xdr:rowOff>104776</xdr:rowOff>
    </xdr:to>
    <xdr:cxnSp macro="">
      <xdr:nvCxnSpPr>
        <xdr:cNvPr id="68" name="Conector recto de flecha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CxnSpPr/>
      </xdr:nvCxnSpPr>
      <xdr:spPr>
        <a:xfrm>
          <a:off x="3324225" y="54854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284</xdr:row>
      <xdr:rowOff>114300</xdr:rowOff>
    </xdr:from>
    <xdr:to>
      <xdr:col>4</xdr:col>
      <xdr:colOff>857250</xdr:colOff>
      <xdr:row>284</xdr:row>
      <xdr:rowOff>114301</xdr:rowOff>
    </xdr:to>
    <xdr:cxnSp macro="">
      <xdr:nvCxnSpPr>
        <xdr:cNvPr id="69" name="Conector recto de flecha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CxnSpPr/>
      </xdr:nvCxnSpPr>
      <xdr:spPr>
        <a:xfrm>
          <a:off x="3324225" y="550545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285</xdr:row>
      <xdr:rowOff>104775</xdr:rowOff>
    </xdr:from>
    <xdr:to>
      <xdr:col>4</xdr:col>
      <xdr:colOff>857250</xdr:colOff>
      <xdr:row>285</xdr:row>
      <xdr:rowOff>104776</xdr:rowOff>
    </xdr:to>
    <xdr:cxnSp macro="">
      <xdr:nvCxnSpPr>
        <xdr:cNvPr id="70" name="Conector recto de flecha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CxnSpPr/>
      </xdr:nvCxnSpPr>
      <xdr:spPr>
        <a:xfrm>
          <a:off x="3324225" y="55235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298</xdr:row>
      <xdr:rowOff>104775</xdr:rowOff>
    </xdr:from>
    <xdr:to>
      <xdr:col>4</xdr:col>
      <xdr:colOff>857250</xdr:colOff>
      <xdr:row>298</xdr:row>
      <xdr:rowOff>104776</xdr:rowOff>
    </xdr:to>
    <xdr:cxnSp macro="">
      <xdr:nvCxnSpPr>
        <xdr:cNvPr id="71" name="Conector recto de flecha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CxnSpPr/>
      </xdr:nvCxnSpPr>
      <xdr:spPr>
        <a:xfrm>
          <a:off x="3324225" y="57711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297</xdr:row>
      <xdr:rowOff>104775</xdr:rowOff>
    </xdr:from>
    <xdr:to>
      <xdr:col>4</xdr:col>
      <xdr:colOff>857250</xdr:colOff>
      <xdr:row>297</xdr:row>
      <xdr:rowOff>104776</xdr:rowOff>
    </xdr:to>
    <xdr:cxnSp macro="">
      <xdr:nvCxnSpPr>
        <xdr:cNvPr id="72" name="Conector recto de flecha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CxnSpPr/>
      </xdr:nvCxnSpPr>
      <xdr:spPr>
        <a:xfrm>
          <a:off x="3324225" y="57521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265</xdr:row>
      <xdr:rowOff>104775</xdr:rowOff>
    </xdr:from>
    <xdr:to>
      <xdr:col>4</xdr:col>
      <xdr:colOff>857250</xdr:colOff>
      <xdr:row>265</xdr:row>
      <xdr:rowOff>104776</xdr:rowOff>
    </xdr:to>
    <xdr:cxnSp macro="">
      <xdr:nvCxnSpPr>
        <xdr:cNvPr id="73" name="Conector recto de flecha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>
          <a:off x="3324225" y="51425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266</xdr:row>
      <xdr:rowOff>104775</xdr:rowOff>
    </xdr:from>
    <xdr:to>
      <xdr:col>4</xdr:col>
      <xdr:colOff>857250</xdr:colOff>
      <xdr:row>266</xdr:row>
      <xdr:rowOff>104776</xdr:rowOff>
    </xdr:to>
    <xdr:cxnSp macro="">
      <xdr:nvCxnSpPr>
        <xdr:cNvPr id="74" name="Conector recto de flecha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>
          <a:off x="3324225" y="51615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270</xdr:row>
      <xdr:rowOff>104775</xdr:rowOff>
    </xdr:from>
    <xdr:to>
      <xdr:col>4</xdr:col>
      <xdr:colOff>857250</xdr:colOff>
      <xdr:row>270</xdr:row>
      <xdr:rowOff>104776</xdr:rowOff>
    </xdr:to>
    <xdr:cxnSp macro="">
      <xdr:nvCxnSpPr>
        <xdr:cNvPr id="75" name="Conector recto de flecha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3324225" y="52377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271</xdr:row>
      <xdr:rowOff>104775</xdr:rowOff>
    </xdr:from>
    <xdr:to>
      <xdr:col>4</xdr:col>
      <xdr:colOff>857250</xdr:colOff>
      <xdr:row>271</xdr:row>
      <xdr:rowOff>104776</xdr:rowOff>
    </xdr:to>
    <xdr:cxnSp macro="">
      <xdr:nvCxnSpPr>
        <xdr:cNvPr id="76" name="Conector recto de flecha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CxnSpPr/>
      </xdr:nvCxnSpPr>
      <xdr:spPr>
        <a:xfrm>
          <a:off x="3324225" y="52568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304</xdr:row>
      <xdr:rowOff>104775</xdr:rowOff>
    </xdr:from>
    <xdr:to>
      <xdr:col>4</xdr:col>
      <xdr:colOff>857250</xdr:colOff>
      <xdr:row>304</xdr:row>
      <xdr:rowOff>104776</xdr:rowOff>
    </xdr:to>
    <xdr:cxnSp macro="">
      <xdr:nvCxnSpPr>
        <xdr:cNvPr id="77" name="Conector recto de flecha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CxnSpPr/>
      </xdr:nvCxnSpPr>
      <xdr:spPr>
        <a:xfrm>
          <a:off x="3324225" y="58854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28575</xdr:colOff>
      <xdr:row>2</xdr:row>
      <xdr:rowOff>66675</xdr:rowOff>
    </xdr:from>
    <xdr:to>
      <xdr:col>5</xdr:col>
      <xdr:colOff>790575</xdr:colOff>
      <xdr:row>12</xdr:row>
      <xdr:rowOff>65758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7675"/>
          <a:ext cx="3209925" cy="190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723900</xdr:colOff>
      <xdr:row>14</xdr:row>
      <xdr:rowOff>142875</xdr:rowOff>
    </xdr:from>
    <xdr:to>
      <xdr:col>7</xdr:col>
      <xdr:colOff>171450</xdr:colOff>
      <xdr:row>16</xdr:row>
      <xdr:rowOff>66675</xdr:rowOff>
    </xdr:to>
    <xdr:sp macro="" textlink="">
      <xdr:nvSpPr>
        <xdr:cNvPr id="79" name="Rectángulo redondeado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/>
      </xdr:nvSpPr>
      <xdr:spPr>
        <a:xfrm>
          <a:off x="2724150" y="2819400"/>
          <a:ext cx="2828925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687705</xdr:colOff>
      <xdr:row>38</xdr:row>
      <xdr:rowOff>180974</xdr:rowOff>
    </xdr:from>
    <xdr:to>
      <xdr:col>2</xdr:col>
      <xdr:colOff>57150</xdr:colOff>
      <xdr:row>40</xdr:row>
      <xdr:rowOff>47625</xdr:rowOff>
    </xdr:to>
    <xdr:sp macro="" textlink="">
      <xdr:nvSpPr>
        <xdr:cNvPr id="80" name="Abrir llave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/>
      </xdr:nvSpPr>
      <xdr:spPr>
        <a:xfrm>
          <a:off x="1240155" y="7477124"/>
          <a:ext cx="64770" cy="247651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333375</xdr:colOff>
      <xdr:row>47</xdr:row>
      <xdr:rowOff>104775</xdr:rowOff>
    </xdr:from>
    <xdr:to>
      <xdr:col>1</xdr:col>
      <xdr:colOff>685800</xdr:colOff>
      <xdr:row>48</xdr:row>
      <xdr:rowOff>133351</xdr:rowOff>
    </xdr:to>
    <xdr:sp macro="" textlink="">
      <xdr:nvSpPr>
        <xdr:cNvPr id="81" name="Flecha derecha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/>
      </xdr:nvSpPr>
      <xdr:spPr>
        <a:xfrm>
          <a:off x="885825" y="9124950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0</xdr:colOff>
      <xdr:row>49</xdr:row>
      <xdr:rowOff>0</xdr:rowOff>
    </xdr:from>
    <xdr:to>
      <xdr:col>4</xdr:col>
      <xdr:colOff>0</xdr:colOff>
      <xdr:row>50</xdr:row>
      <xdr:rowOff>47625</xdr:rowOff>
    </xdr:to>
    <xdr:cxnSp macro="">
      <xdr:nvCxnSpPr>
        <xdr:cNvPr id="82" name="Conector recto de flecha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CxnSpPr/>
      </xdr:nvCxnSpPr>
      <xdr:spPr>
        <a:xfrm>
          <a:off x="2800350" y="9401175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857250</xdr:colOff>
      <xdr:row>43</xdr:row>
      <xdr:rowOff>180975</xdr:rowOff>
    </xdr:from>
    <xdr:to>
      <xdr:col>8</xdr:col>
      <xdr:colOff>66675</xdr:colOff>
      <xdr:row>46</xdr:row>
      <xdr:rowOff>19050</xdr:rowOff>
    </xdr:to>
    <xdr:sp macro="" textlink="">
      <xdr:nvSpPr>
        <xdr:cNvPr id="83" name="Rectángulo redondeado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4552950" y="8429625"/>
          <a:ext cx="1619250" cy="4191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590550</xdr:colOff>
      <xdr:row>45</xdr:row>
      <xdr:rowOff>19050</xdr:rowOff>
    </xdr:from>
    <xdr:to>
      <xdr:col>5</xdr:col>
      <xdr:colOff>866776</xdr:colOff>
      <xdr:row>45</xdr:row>
      <xdr:rowOff>23813</xdr:rowOff>
    </xdr:to>
    <xdr:cxnSp macro="">
      <xdr:nvCxnSpPr>
        <xdr:cNvPr id="84" name="Conector recto de flecha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CxnSpPr/>
      </xdr:nvCxnSpPr>
      <xdr:spPr>
        <a:xfrm flipH="1" flipV="1">
          <a:off x="4286250" y="8648700"/>
          <a:ext cx="276226" cy="4763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119</xdr:row>
      <xdr:rowOff>142875</xdr:rowOff>
    </xdr:from>
    <xdr:to>
      <xdr:col>6</xdr:col>
      <xdr:colOff>666750</xdr:colOff>
      <xdr:row>121</xdr:row>
      <xdr:rowOff>57150</xdr:rowOff>
    </xdr:to>
    <xdr:sp macro="" textlink="">
      <xdr:nvSpPr>
        <xdr:cNvPr id="85" name="Rectángulo redondeado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/>
      </xdr:nvSpPr>
      <xdr:spPr>
        <a:xfrm>
          <a:off x="2457450" y="23421975"/>
          <a:ext cx="2800350" cy="295275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152400</xdr:colOff>
      <xdr:row>123</xdr:row>
      <xdr:rowOff>28575</xdr:rowOff>
    </xdr:from>
    <xdr:to>
      <xdr:col>5</xdr:col>
      <xdr:colOff>157162</xdr:colOff>
      <xdr:row>123</xdr:row>
      <xdr:rowOff>180975</xdr:rowOff>
    </xdr:to>
    <xdr:cxnSp macro="">
      <xdr:nvCxnSpPr>
        <xdr:cNvPr id="86" name="Conector recto de flecha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CxnSpPr>
          <a:stCxn id="87" idx="2"/>
        </xdr:cNvCxnSpPr>
      </xdr:nvCxnSpPr>
      <xdr:spPr>
        <a:xfrm flipH="1">
          <a:off x="3848100" y="24088725"/>
          <a:ext cx="4762" cy="15240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121</xdr:row>
      <xdr:rowOff>200024</xdr:rowOff>
    </xdr:from>
    <xdr:to>
      <xdr:col>6</xdr:col>
      <xdr:colOff>295274</xdr:colOff>
      <xdr:row>123</xdr:row>
      <xdr:rowOff>28575</xdr:rowOff>
    </xdr:to>
    <xdr:sp macro="" textlink="">
      <xdr:nvSpPr>
        <xdr:cNvPr id="87" name="Rectángulo redondeado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/>
      </xdr:nvSpPr>
      <xdr:spPr>
        <a:xfrm>
          <a:off x="2790825" y="23860124"/>
          <a:ext cx="2095499" cy="22860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150</xdr:row>
      <xdr:rowOff>104775</xdr:rowOff>
    </xdr:from>
    <xdr:to>
      <xdr:col>5</xdr:col>
      <xdr:colOff>219075</xdr:colOff>
      <xdr:row>150</xdr:row>
      <xdr:rowOff>104776</xdr:rowOff>
    </xdr:to>
    <xdr:cxnSp macro="">
      <xdr:nvCxnSpPr>
        <xdr:cNvPr id="88" name="Conector recto de flecha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CxnSpPr/>
      </xdr:nvCxnSpPr>
      <xdr:spPr>
        <a:xfrm flipH="1">
          <a:off x="3705227" y="2934652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150</xdr:row>
      <xdr:rowOff>0</xdr:rowOff>
    </xdr:from>
    <xdr:to>
      <xdr:col>1</xdr:col>
      <xdr:colOff>38100</xdr:colOff>
      <xdr:row>151</xdr:row>
      <xdr:rowOff>28576</xdr:rowOff>
    </xdr:to>
    <xdr:sp macro="" textlink="">
      <xdr:nvSpPr>
        <xdr:cNvPr id="89" name="Flecha derecha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/>
      </xdr:nvSpPr>
      <xdr:spPr>
        <a:xfrm>
          <a:off x="200025" y="29241750"/>
          <a:ext cx="3905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19051</xdr:colOff>
      <xdr:row>184</xdr:row>
      <xdr:rowOff>95250</xdr:rowOff>
    </xdr:from>
    <xdr:to>
      <xdr:col>4</xdr:col>
      <xdr:colOff>219075</xdr:colOff>
      <xdr:row>184</xdr:row>
      <xdr:rowOff>95251</xdr:rowOff>
    </xdr:to>
    <xdr:cxnSp macro="">
      <xdr:nvCxnSpPr>
        <xdr:cNvPr id="90" name="Conector recto de flecha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CxnSpPr/>
      </xdr:nvCxnSpPr>
      <xdr:spPr>
        <a:xfrm flipH="1">
          <a:off x="2819401" y="35814000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182</xdr:row>
      <xdr:rowOff>104775</xdr:rowOff>
    </xdr:from>
    <xdr:to>
      <xdr:col>4</xdr:col>
      <xdr:colOff>352425</xdr:colOff>
      <xdr:row>182</xdr:row>
      <xdr:rowOff>104776</xdr:rowOff>
    </xdr:to>
    <xdr:cxnSp macro="">
      <xdr:nvCxnSpPr>
        <xdr:cNvPr id="91" name="Conector recto de flecha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CxnSpPr/>
      </xdr:nvCxnSpPr>
      <xdr:spPr>
        <a:xfrm flipV="1">
          <a:off x="2838450" y="3544252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184</xdr:row>
      <xdr:rowOff>0</xdr:rowOff>
    </xdr:from>
    <xdr:to>
      <xdr:col>1</xdr:col>
      <xdr:colOff>0</xdr:colOff>
      <xdr:row>185</xdr:row>
      <xdr:rowOff>28576</xdr:rowOff>
    </xdr:to>
    <xdr:sp macro="" textlink="">
      <xdr:nvSpPr>
        <xdr:cNvPr id="92" name="Flecha derecha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/>
      </xdr:nvSpPr>
      <xdr:spPr>
        <a:xfrm>
          <a:off x="161925" y="35718750"/>
          <a:ext cx="3905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419101</xdr:colOff>
      <xdr:row>361</xdr:row>
      <xdr:rowOff>142875</xdr:rowOff>
    </xdr:from>
    <xdr:to>
      <xdr:col>5</xdr:col>
      <xdr:colOff>228600</xdr:colOff>
      <xdr:row>364</xdr:row>
      <xdr:rowOff>85725</xdr:rowOff>
    </xdr:to>
    <xdr:sp macro="" textlink="">
      <xdr:nvSpPr>
        <xdr:cNvPr id="93" name="Rectángulo redondeado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/>
      </xdr:nvSpPr>
      <xdr:spPr>
        <a:xfrm>
          <a:off x="1666876" y="70104000"/>
          <a:ext cx="225742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426</xdr:row>
      <xdr:rowOff>142875</xdr:rowOff>
    </xdr:from>
    <xdr:to>
      <xdr:col>5</xdr:col>
      <xdr:colOff>228600</xdr:colOff>
      <xdr:row>429</xdr:row>
      <xdr:rowOff>85725</xdr:rowOff>
    </xdr:to>
    <xdr:sp macro="" textlink="">
      <xdr:nvSpPr>
        <xdr:cNvPr id="94" name="Rectángulo redondeado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/>
      </xdr:nvSpPr>
      <xdr:spPr>
        <a:xfrm>
          <a:off x="1666876" y="82610325"/>
          <a:ext cx="225742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446</xdr:row>
      <xdr:rowOff>142875</xdr:rowOff>
    </xdr:from>
    <xdr:to>
      <xdr:col>5</xdr:col>
      <xdr:colOff>228600</xdr:colOff>
      <xdr:row>449</xdr:row>
      <xdr:rowOff>85725</xdr:rowOff>
    </xdr:to>
    <xdr:sp macro="" textlink="">
      <xdr:nvSpPr>
        <xdr:cNvPr id="95" name="Rectángulo redondeado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/>
      </xdr:nvSpPr>
      <xdr:spPr>
        <a:xfrm>
          <a:off x="1666876" y="86467950"/>
          <a:ext cx="2257424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2</xdr:row>
      <xdr:rowOff>133350</xdr:rowOff>
    </xdr:from>
    <xdr:to>
      <xdr:col>5</xdr:col>
      <xdr:colOff>671012</xdr:colOff>
      <xdr:row>10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602" b="6396"/>
        <a:stretch/>
      </xdr:blipFill>
      <xdr:spPr>
        <a:xfrm>
          <a:off x="1171575" y="514350"/>
          <a:ext cx="3271337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34</xdr:row>
      <xdr:rowOff>57150</xdr:rowOff>
    </xdr:from>
    <xdr:to>
      <xdr:col>5</xdr:col>
      <xdr:colOff>571501</xdr:colOff>
      <xdr:row>40</xdr:row>
      <xdr:rowOff>74017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83"/>
        <a:stretch/>
      </xdr:blipFill>
      <xdr:spPr bwMode="auto">
        <a:xfrm>
          <a:off x="2886075" y="6581775"/>
          <a:ext cx="1457326" cy="1159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514350</xdr:colOff>
      <xdr:row>37</xdr:row>
      <xdr:rowOff>114300</xdr:rowOff>
    </xdr:from>
    <xdr:to>
      <xdr:col>4</xdr:col>
      <xdr:colOff>57150</xdr:colOff>
      <xdr:row>37</xdr:row>
      <xdr:rowOff>114301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>
          <a:off x="2514600" y="7210425"/>
          <a:ext cx="41910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38</xdr:row>
      <xdr:rowOff>104775</xdr:rowOff>
    </xdr:from>
    <xdr:to>
      <xdr:col>5</xdr:col>
      <xdr:colOff>742951</xdr:colOff>
      <xdr:row>38</xdr:row>
      <xdr:rowOff>104775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CxnSpPr/>
      </xdr:nvCxnSpPr>
      <xdr:spPr>
        <a:xfrm flipH="1">
          <a:off x="4086225" y="7391400"/>
          <a:ext cx="428626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266700</xdr:colOff>
      <xdr:row>34</xdr:row>
      <xdr:rowOff>123825</xdr:rowOff>
    </xdr:from>
    <xdr:to>
      <xdr:col>6</xdr:col>
      <xdr:colOff>0</xdr:colOff>
      <xdr:row>35</xdr:row>
      <xdr:rowOff>38100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 flipH="1">
          <a:off x="4038600" y="6648450"/>
          <a:ext cx="628650" cy="10477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57150</xdr:colOff>
      <xdr:row>47</xdr:row>
      <xdr:rowOff>171450</xdr:rowOff>
    </xdr:from>
    <xdr:to>
      <xdr:col>5</xdr:col>
      <xdr:colOff>590207</xdr:colOff>
      <xdr:row>54</xdr:row>
      <xdr:rowOff>14311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57400" y="9172575"/>
          <a:ext cx="2304707" cy="1176361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28</xdr:row>
      <xdr:rowOff>19050</xdr:rowOff>
    </xdr:from>
    <xdr:to>
      <xdr:col>2</xdr:col>
      <xdr:colOff>66676</xdr:colOff>
      <xdr:row>39</xdr:row>
      <xdr:rowOff>190499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19200" y="5400675"/>
          <a:ext cx="66676" cy="2266949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723900</xdr:colOff>
      <xdr:row>41</xdr:row>
      <xdr:rowOff>0</xdr:rowOff>
    </xdr:from>
    <xdr:to>
      <xdr:col>2</xdr:col>
      <xdr:colOff>85725</xdr:colOff>
      <xdr:row>53</xdr:row>
      <xdr:rowOff>180974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219200" y="7858125"/>
          <a:ext cx="85725" cy="24669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342900</xdr:colOff>
      <xdr:row>47</xdr:row>
      <xdr:rowOff>123825</xdr:rowOff>
    </xdr:from>
    <xdr:to>
      <xdr:col>6</xdr:col>
      <xdr:colOff>9526</xdr:colOff>
      <xdr:row>48</xdr:row>
      <xdr:rowOff>28575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CxnSpPr/>
      </xdr:nvCxnSpPr>
      <xdr:spPr>
        <a:xfrm flipH="1">
          <a:off x="4114800" y="9124950"/>
          <a:ext cx="561976" cy="952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209553</xdr:colOff>
      <xdr:row>51</xdr:row>
      <xdr:rowOff>57151</xdr:rowOff>
    </xdr:from>
    <xdr:to>
      <xdr:col>6</xdr:col>
      <xdr:colOff>171450</xdr:colOff>
      <xdr:row>51</xdr:row>
      <xdr:rowOff>104775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/>
      </xdr:nvCxnSpPr>
      <xdr:spPr>
        <a:xfrm flipH="1" flipV="1">
          <a:off x="3981453" y="9820276"/>
          <a:ext cx="857247" cy="47624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51</xdr:row>
      <xdr:rowOff>85725</xdr:rowOff>
    </xdr:from>
    <xdr:to>
      <xdr:col>3</xdr:col>
      <xdr:colOff>76200</xdr:colOff>
      <xdr:row>51</xdr:row>
      <xdr:rowOff>85726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CxnSpPr/>
      </xdr:nvCxnSpPr>
      <xdr:spPr>
        <a:xfrm>
          <a:off x="1752600" y="9848850"/>
          <a:ext cx="323850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628650</xdr:colOff>
      <xdr:row>58</xdr:row>
      <xdr:rowOff>38100</xdr:rowOff>
    </xdr:from>
    <xdr:to>
      <xdr:col>1</xdr:col>
      <xdr:colOff>676275</xdr:colOff>
      <xdr:row>74</xdr:row>
      <xdr:rowOff>47624</xdr:rowOff>
    </xdr:to>
    <xdr:sp macro="" textlink="">
      <xdr:nvSpPr>
        <xdr:cNvPr id="13" name="Abrir llav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1152525" y="11134725"/>
          <a:ext cx="47625" cy="3105149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704851</xdr:colOff>
      <xdr:row>76</xdr:row>
      <xdr:rowOff>171451</xdr:rowOff>
    </xdr:from>
    <xdr:to>
      <xdr:col>2</xdr:col>
      <xdr:colOff>85725</xdr:colOff>
      <xdr:row>79</xdr:row>
      <xdr:rowOff>38100</xdr:rowOff>
    </xdr:to>
    <xdr:sp macro="" textlink="">
      <xdr:nvSpPr>
        <xdr:cNvPr id="14" name="Abrir llav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219201" y="14744701"/>
          <a:ext cx="85724" cy="438149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704850</xdr:colOff>
      <xdr:row>135</xdr:row>
      <xdr:rowOff>0</xdr:rowOff>
    </xdr:from>
    <xdr:to>
      <xdr:col>2</xdr:col>
      <xdr:colOff>66675</xdr:colOff>
      <xdr:row>137</xdr:row>
      <xdr:rowOff>0</xdr:rowOff>
    </xdr:to>
    <xdr:sp macro="" textlink="">
      <xdr:nvSpPr>
        <xdr:cNvPr id="15" name="Abrir llav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1219200" y="26355675"/>
          <a:ext cx="66675" cy="381000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619125</xdr:colOff>
      <xdr:row>87</xdr:row>
      <xdr:rowOff>47626</xdr:rowOff>
    </xdr:from>
    <xdr:to>
      <xdr:col>2</xdr:col>
      <xdr:colOff>19051</xdr:colOff>
      <xdr:row>105</xdr:row>
      <xdr:rowOff>28575</xdr:rowOff>
    </xdr:to>
    <xdr:sp macro="" textlink="">
      <xdr:nvSpPr>
        <xdr:cNvPr id="16" name="Abrir llav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1143000" y="16716376"/>
          <a:ext cx="95251" cy="341947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685799</xdr:colOff>
      <xdr:row>108</xdr:row>
      <xdr:rowOff>180976</xdr:rowOff>
    </xdr:from>
    <xdr:to>
      <xdr:col>2</xdr:col>
      <xdr:colOff>85724</xdr:colOff>
      <xdr:row>112</xdr:row>
      <xdr:rowOff>0</xdr:rowOff>
    </xdr:to>
    <xdr:sp macro="" textlink="">
      <xdr:nvSpPr>
        <xdr:cNvPr id="17" name="Abrir llav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1209674" y="20869276"/>
          <a:ext cx="95250" cy="619124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28575</xdr:colOff>
      <xdr:row>228</xdr:row>
      <xdr:rowOff>95250</xdr:rowOff>
    </xdr:from>
    <xdr:ext cx="261738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SpPr txBox="1"/>
          </xdr:nvSpPr>
          <xdr:spPr>
            <a:xfrm>
              <a:off x="1247775" y="44215050"/>
              <a:ext cx="261738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PE" sz="1200" b="0" i="1"/>
                <a:t>CL</a:t>
              </a:r>
              <a14:m>
                <m:oMath xmlns:m="http://schemas.openxmlformats.org/officeDocument/2006/math">
                  <m:r>
                    <a:rPr lang="es-PE" sz="12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s-PE" sz="1200" i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47775" y="44215050"/>
              <a:ext cx="261738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PE" sz="1200" b="0" i="1"/>
                <a:t>CL</a:t>
              </a:r>
              <a:r>
                <a:rPr lang="es-PE" sz="1200" b="0" i="0">
                  <a:latin typeface="Cambria Math" panose="02040503050406030204" pitchFamily="18" charset="0"/>
                </a:rPr>
                <a:t>=</a:t>
              </a:r>
              <a:endParaRPr lang="es-PE" sz="1200" i="1"/>
            </a:p>
          </xdr:txBody>
        </xdr:sp>
      </mc:Fallback>
    </mc:AlternateContent>
    <xdr:clientData/>
  </xdr:oneCellAnchor>
  <xdr:oneCellAnchor>
    <xdr:from>
      <xdr:col>2</xdr:col>
      <xdr:colOff>314325</xdr:colOff>
      <xdr:row>228</xdr:row>
      <xdr:rowOff>19050</xdr:rowOff>
    </xdr:from>
    <xdr:ext cx="891141" cy="3419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 txBox="1"/>
          </xdr:nvSpPr>
          <xdr:spPr>
            <a:xfrm>
              <a:off x="1533525" y="44138850"/>
              <a:ext cx="891141" cy="3419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d>
                          <m:dPr>
                            <m:ctrlPr>
                              <a:rPr lang="es-PE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PE" sz="1100" b="0" i="1">
                                <a:latin typeface="Cambria Math" panose="02040503050406030204" pitchFamily="18" charset="0"/>
                              </a:rPr>
                              <m:t>𝐴𝑙</m:t>
                            </m:r>
                            <m:r>
                              <a:rPr lang="es-PE" sz="1100" b="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s-PE" sz="1100" b="0" i="1">
                                <a:latin typeface="Cambria Math" panose="02040503050406030204" pitchFamily="18" charset="0"/>
                              </a:rPr>
                              <m:t>𝐴𝑣</m:t>
                            </m:r>
                          </m:e>
                        </m:d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𝐿𝑙</m:t>
                        </m:r>
                      </m:den>
                    </m:f>
                  </m:oMath>
                </m:oMathPara>
              </a14:m>
              <a:endParaRPr lang="es-PE" sz="1100" i="1"/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533525" y="44138850"/>
              <a:ext cx="891141" cy="3419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1/((𝐴𝑙+𝐴𝑣)  𝑥 𝐿𝑙)</a:t>
              </a:r>
              <a:endParaRPr lang="es-PE" sz="1100" i="1"/>
            </a:p>
          </xdr:txBody>
        </xdr:sp>
      </mc:Fallback>
    </mc:AlternateContent>
    <xdr:clientData/>
  </xdr:oneCellAnchor>
  <xdr:twoCellAnchor editAs="oneCell">
    <xdr:from>
      <xdr:col>5</xdr:col>
      <xdr:colOff>471516</xdr:colOff>
      <xdr:row>228</xdr:row>
      <xdr:rowOff>114301</xdr:rowOff>
    </xdr:from>
    <xdr:to>
      <xdr:col>7</xdr:col>
      <xdr:colOff>132894</xdr:colOff>
      <xdr:row>233</xdr:row>
      <xdr:rowOff>171451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43416" y="44234101"/>
          <a:ext cx="1356828" cy="1009650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236</xdr:row>
      <xdr:rowOff>104775</xdr:rowOff>
    </xdr:from>
    <xdr:to>
      <xdr:col>4</xdr:col>
      <xdr:colOff>333375</xdr:colOff>
      <xdr:row>236</xdr:row>
      <xdr:rowOff>104775</xdr:rowOff>
    </xdr:to>
    <xdr:cxnSp macro="">
      <xdr:nvCxnSpPr>
        <xdr:cNvPr id="21" name="Conector recto de flecha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/>
      </xdr:nvCxnSpPr>
      <xdr:spPr>
        <a:xfrm>
          <a:off x="2886075" y="45748575"/>
          <a:ext cx="3238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213</xdr:row>
      <xdr:rowOff>142874</xdr:rowOff>
    </xdr:from>
    <xdr:to>
      <xdr:col>2</xdr:col>
      <xdr:colOff>0</xdr:colOff>
      <xdr:row>220</xdr:row>
      <xdr:rowOff>38100</xdr:rowOff>
    </xdr:to>
    <xdr:sp macro="" textlink="">
      <xdr:nvSpPr>
        <xdr:cNvPr id="22" name="Abrir llav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1123950" y="41386124"/>
          <a:ext cx="95250" cy="1247776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0</xdr:colOff>
      <xdr:row>246</xdr:row>
      <xdr:rowOff>104775</xdr:rowOff>
    </xdr:from>
    <xdr:to>
      <xdr:col>4</xdr:col>
      <xdr:colOff>161925</xdr:colOff>
      <xdr:row>246</xdr:row>
      <xdr:rowOff>114300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CxnSpPr/>
      </xdr:nvCxnSpPr>
      <xdr:spPr>
        <a:xfrm flipV="1">
          <a:off x="2876550" y="47653575"/>
          <a:ext cx="161925" cy="95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0</xdr:colOff>
      <xdr:row>259</xdr:row>
      <xdr:rowOff>0</xdr:rowOff>
    </xdr:from>
    <xdr:ext cx="984437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 txBox="1"/>
          </xdr:nvSpPr>
          <xdr:spPr>
            <a:xfrm>
              <a:off x="1219200" y="50025300"/>
              <a:ext cx="98443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PE" sz="1200" b="0" i="1">
                  <a:latin typeface="+mn-lt"/>
                </a:rPr>
                <a:t>Vol.</a:t>
              </a:r>
              <a:r>
                <a:rPr lang="es-PE" sz="1200" b="0" i="1" baseline="0">
                  <a:latin typeface="+mn-lt"/>
                </a:rPr>
                <a:t> Concreto </a:t>
              </a:r>
              <a14:m>
                <m:oMath xmlns:m="http://schemas.openxmlformats.org/officeDocument/2006/math">
                  <m:r>
                    <a:rPr lang="es-PE" sz="12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s-PE" sz="1200" i="1"/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19200" y="50025300"/>
              <a:ext cx="984437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PE" sz="1200" b="0" i="1">
                  <a:latin typeface="+mn-lt"/>
                </a:rPr>
                <a:t>Vol.</a:t>
              </a:r>
              <a:r>
                <a:rPr lang="es-PE" sz="1200" b="0" i="1" baseline="0">
                  <a:latin typeface="+mn-lt"/>
                </a:rPr>
                <a:t> Concreto </a:t>
              </a:r>
              <a:r>
                <a:rPr lang="es-PE" sz="1200" b="0" i="0">
                  <a:latin typeface="Cambria Math" panose="02040503050406030204" pitchFamily="18" charset="0"/>
                </a:rPr>
                <a:t>=</a:t>
              </a:r>
              <a:endParaRPr lang="es-PE" sz="1200" i="1"/>
            </a:p>
          </xdr:txBody>
        </xdr:sp>
      </mc:Fallback>
    </mc:AlternateContent>
    <xdr:clientData/>
  </xdr:oneCellAnchor>
  <xdr:oneCellAnchor>
    <xdr:from>
      <xdr:col>3</xdr:col>
      <xdr:colOff>285750</xdr:colOff>
      <xdr:row>259</xdr:row>
      <xdr:rowOff>9525</xdr:rowOff>
    </xdr:from>
    <xdr:ext cx="1886863" cy="187872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2286000" y="50034825"/>
          <a:ext cx="1886863" cy="1878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es-PE" sz="1200" b="0" i="1">
              <a:latin typeface="+mn-lt"/>
            </a:rPr>
            <a:t>Vol.</a:t>
          </a:r>
          <a:r>
            <a:rPr lang="es-PE" sz="1200" b="0" i="1" baseline="0">
              <a:latin typeface="+mn-lt"/>
            </a:rPr>
            <a:t> losa maciza - Vol. ladrillos</a:t>
          </a:r>
          <a:endParaRPr lang="es-PE" sz="1200" i="1"/>
        </a:p>
      </xdr:txBody>
    </xdr:sp>
    <xdr:clientData/>
  </xdr:oneCellAnchor>
  <xdr:twoCellAnchor>
    <xdr:from>
      <xdr:col>1</xdr:col>
      <xdr:colOff>704850</xdr:colOff>
      <xdr:row>227</xdr:row>
      <xdr:rowOff>190499</xdr:rowOff>
    </xdr:from>
    <xdr:to>
      <xdr:col>3</xdr:col>
      <xdr:colOff>523875</xdr:colOff>
      <xdr:row>230</xdr:row>
      <xdr:rowOff>9524</xdr:rowOff>
    </xdr:to>
    <xdr:sp macro="" textlink="">
      <xdr:nvSpPr>
        <xdr:cNvPr id="26" name="Rectángulo redondeado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1219200" y="44119799"/>
          <a:ext cx="1304925" cy="3905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676275</xdr:colOff>
      <xdr:row>258</xdr:row>
      <xdr:rowOff>152401</xdr:rowOff>
    </xdr:from>
    <xdr:to>
      <xdr:col>5</xdr:col>
      <xdr:colOff>504825</xdr:colOff>
      <xdr:row>260</xdr:row>
      <xdr:rowOff>38101</xdr:rowOff>
    </xdr:to>
    <xdr:sp macro="" textlink="">
      <xdr:nvSpPr>
        <xdr:cNvPr id="27" name="Rectángulo redondeado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200150" y="49987201"/>
          <a:ext cx="3076575" cy="2667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0</xdr:colOff>
      <xdr:row>261</xdr:row>
      <xdr:rowOff>114300</xdr:rowOff>
    </xdr:from>
    <xdr:to>
      <xdr:col>4</xdr:col>
      <xdr:colOff>323850</xdr:colOff>
      <xdr:row>261</xdr:row>
      <xdr:rowOff>114300</xdr:rowOff>
    </xdr:to>
    <xdr:cxnSp macro="">
      <xdr:nvCxnSpPr>
        <xdr:cNvPr id="28" name="Conector recto de flecha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CxnSpPr/>
      </xdr:nvCxnSpPr>
      <xdr:spPr>
        <a:xfrm>
          <a:off x="2876550" y="50520600"/>
          <a:ext cx="323850" cy="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267</xdr:row>
      <xdr:rowOff>104775</xdr:rowOff>
    </xdr:from>
    <xdr:to>
      <xdr:col>4</xdr:col>
      <xdr:colOff>142875</xdr:colOff>
      <xdr:row>267</xdr:row>
      <xdr:rowOff>104776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/>
      </xdr:nvCxnSpPr>
      <xdr:spPr>
        <a:xfrm>
          <a:off x="2628900" y="51663600"/>
          <a:ext cx="3905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276</xdr:row>
      <xdr:rowOff>104775</xdr:rowOff>
    </xdr:from>
    <xdr:to>
      <xdr:col>4</xdr:col>
      <xdr:colOff>857250</xdr:colOff>
      <xdr:row>276</xdr:row>
      <xdr:rowOff>104776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CxnSpPr/>
      </xdr:nvCxnSpPr>
      <xdr:spPr>
        <a:xfrm>
          <a:off x="3400425" y="534066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277</xdr:row>
      <xdr:rowOff>114300</xdr:rowOff>
    </xdr:from>
    <xdr:to>
      <xdr:col>4</xdr:col>
      <xdr:colOff>857250</xdr:colOff>
      <xdr:row>277</xdr:row>
      <xdr:rowOff>114301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CxnSpPr/>
      </xdr:nvCxnSpPr>
      <xdr:spPr>
        <a:xfrm>
          <a:off x="3400425" y="536162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278</xdr:row>
      <xdr:rowOff>104775</xdr:rowOff>
    </xdr:from>
    <xdr:to>
      <xdr:col>4</xdr:col>
      <xdr:colOff>857250</xdr:colOff>
      <xdr:row>278</xdr:row>
      <xdr:rowOff>104776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CxnSpPr/>
      </xdr:nvCxnSpPr>
      <xdr:spPr>
        <a:xfrm>
          <a:off x="3400425" y="538067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279</xdr:row>
      <xdr:rowOff>104775</xdr:rowOff>
    </xdr:from>
    <xdr:to>
      <xdr:col>4</xdr:col>
      <xdr:colOff>857250</xdr:colOff>
      <xdr:row>279</xdr:row>
      <xdr:rowOff>104776</xdr:rowOff>
    </xdr:to>
    <xdr:cxnSp macro="">
      <xdr:nvCxnSpPr>
        <xdr:cNvPr id="33" name="Conector recto de flecha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CxnSpPr/>
      </xdr:nvCxnSpPr>
      <xdr:spPr>
        <a:xfrm>
          <a:off x="3400425" y="540067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284</xdr:row>
      <xdr:rowOff>104775</xdr:rowOff>
    </xdr:from>
    <xdr:to>
      <xdr:col>4</xdr:col>
      <xdr:colOff>857250</xdr:colOff>
      <xdr:row>284</xdr:row>
      <xdr:rowOff>104776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CxnSpPr/>
      </xdr:nvCxnSpPr>
      <xdr:spPr>
        <a:xfrm>
          <a:off x="3400425" y="549687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285</xdr:row>
      <xdr:rowOff>114300</xdr:rowOff>
    </xdr:from>
    <xdr:to>
      <xdr:col>4</xdr:col>
      <xdr:colOff>857250</xdr:colOff>
      <xdr:row>285</xdr:row>
      <xdr:rowOff>114301</xdr:rowOff>
    </xdr:to>
    <xdr:cxnSp macro="">
      <xdr:nvCxnSpPr>
        <xdr:cNvPr id="35" name="Conector recto de flecha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CxnSpPr/>
      </xdr:nvCxnSpPr>
      <xdr:spPr>
        <a:xfrm>
          <a:off x="3400425" y="551688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286</xdr:row>
      <xdr:rowOff>104775</xdr:rowOff>
    </xdr:from>
    <xdr:to>
      <xdr:col>4</xdr:col>
      <xdr:colOff>857250</xdr:colOff>
      <xdr:row>286</xdr:row>
      <xdr:rowOff>104776</xdr:rowOff>
    </xdr:to>
    <xdr:cxnSp macro="">
      <xdr:nvCxnSpPr>
        <xdr:cNvPr id="36" name="Conector recto de flecha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CxnSpPr/>
      </xdr:nvCxnSpPr>
      <xdr:spPr>
        <a:xfrm>
          <a:off x="3400425" y="553593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287</xdr:row>
      <xdr:rowOff>104775</xdr:rowOff>
    </xdr:from>
    <xdr:to>
      <xdr:col>4</xdr:col>
      <xdr:colOff>857250</xdr:colOff>
      <xdr:row>287</xdr:row>
      <xdr:rowOff>104776</xdr:rowOff>
    </xdr:to>
    <xdr:cxnSp macro="">
      <xdr:nvCxnSpPr>
        <xdr:cNvPr id="37" name="Conector recto de flecha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CxnSpPr/>
      </xdr:nvCxnSpPr>
      <xdr:spPr>
        <a:xfrm>
          <a:off x="3400425" y="555593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294</xdr:row>
      <xdr:rowOff>104775</xdr:rowOff>
    </xdr:from>
    <xdr:to>
      <xdr:col>4</xdr:col>
      <xdr:colOff>857250</xdr:colOff>
      <xdr:row>294</xdr:row>
      <xdr:rowOff>104776</xdr:rowOff>
    </xdr:to>
    <xdr:cxnSp macro="">
      <xdr:nvCxnSpPr>
        <xdr:cNvPr id="38" name="Conector recto de flecha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CxnSpPr/>
      </xdr:nvCxnSpPr>
      <xdr:spPr>
        <a:xfrm>
          <a:off x="3400425" y="569118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295</xdr:row>
      <xdr:rowOff>104775</xdr:rowOff>
    </xdr:from>
    <xdr:to>
      <xdr:col>4</xdr:col>
      <xdr:colOff>857250</xdr:colOff>
      <xdr:row>295</xdr:row>
      <xdr:rowOff>104776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CxnSpPr/>
      </xdr:nvCxnSpPr>
      <xdr:spPr>
        <a:xfrm>
          <a:off x="3400425" y="571119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296</xdr:row>
      <xdr:rowOff>104775</xdr:rowOff>
    </xdr:from>
    <xdr:to>
      <xdr:col>4</xdr:col>
      <xdr:colOff>857250</xdr:colOff>
      <xdr:row>296</xdr:row>
      <xdr:rowOff>104776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CxnSpPr/>
      </xdr:nvCxnSpPr>
      <xdr:spPr>
        <a:xfrm>
          <a:off x="3400425" y="57302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300</xdr:row>
      <xdr:rowOff>104775</xdr:rowOff>
    </xdr:from>
    <xdr:to>
      <xdr:col>4</xdr:col>
      <xdr:colOff>857250</xdr:colOff>
      <xdr:row>300</xdr:row>
      <xdr:rowOff>104776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CxnSpPr/>
      </xdr:nvCxnSpPr>
      <xdr:spPr>
        <a:xfrm>
          <a:off x="3400425" y="580644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301</xdr:row>
      <xdr:rowOff>104775</xdr:rowOff>
    </xdr:from>
    <xdr:to>
      <xdr:col>4</xdr:col>
      <xdr:colOff>857250</xdr:colOff>
      <xdr:row>301</xdr:row>
      <xdr:rowOff>104776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CxnSpPr/>
      </xdr:nvCxnSpPr>
      <xdr:spPr>
        <a:xfrm>
          <a:off x="3400425" y="58264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302</xdr:row>
      <xdr:rowOff>104775</xdr:rowOff>
    </xdr:from>
    <xdr:to>
      <xdr:col>4</xdr:col>
      <xdr:colOff>857250</xdr:colOff>
      <xdr:row>302</xdr:row>
      <xdr:rowOff>104776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CxnSpPr/>
      </xdr:nvCxnSpPr>
      <xdr:spPr>
        <a:xfrm>
          <a:off x="3400425" y="58454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313</xdr:row>
      <xdr:rowOff>104775</xdr:rowOff>
    </xdr:from>
    <xdr:to>
      <xdr:col>4</xdr:col>
      <xdr:colOff>857250</xdr:colOff>
      <xdr:row>313</xdr:row>
      <xdr:rowOff>104776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/>
      </xdr:nvCxnSpPr>
      <xdr:spPr>
        <a:xfrm>
          <a:off x="3400425" y="60550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314</xdr:row>
      <xdr:rowOff>114300</xdr:rowOff>
    </xdr:from>
    <xdr:to>
      <xdr:col>4</xdr:col>
      <xdr:colOff>857250</xdr:colOff>
      <xdr:row>314</xdr:row>
      <xdr:rowOff>114301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CxnSpPr/>
      </xdr:nvCxnSpPr>
      <xdr:spPr>
        <a:xfrm>
          <a:off x="3400425" y="60750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315</xdr:row>
      <xdr:rowOff>104775</xdr:rowOff>
    </xdr:from>
    <xdr:to>
      <xdr:col>4</xdr:col>
      <xdr:colOff>857250</xdr:colOff>
      <xdr:row>315</xdr:row>
      <xdr:rowOff>104776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CxnSpPr/>
      </xdr:nvCxnSpPr>
      <xdr:spPr>
        <a:xfrm>
          <a:off x="3400425" y="60931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316</xdr:row>
      <xdr:rowOff>104775</xdr:rowOff>
    </xdr:from>
    <xdr:to>
      <xdr:col>4</xdr:col>
      <xdr:colOff>857250</xdr:colOff>
      <xdr:row>316</xdr:row>
      <xdr:rowOff>104776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CxnSpPr/>
      </xdr:nvCxnSpPr>
      <xdr:spPr>
        <a:xfrm>
          <a:off x="3400425" y="61121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320</xdr:row>
      <xdr:rowOff>104775</xdr:rowOff>
    </xdr:from>
    <xdr:to>
      <xdr:col>4</xdr:col>
      <xdr:colOff>857250</xdr:colOff>
      <xdr:row>320</xdr:row>
      <xdr:rowOff>104776</xdr:rowOff>
    </xdr:to>
    <xdr:cxnSp macro="">
      <xdr:nvCxnSpPr>
        <xdr:cNvPr id="48" name="Conector recto de flecha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CxnSpPr/>
      </xdr:nvCxnSpPr>
      <xdr:spPr>
        <a:xfrm>
          <a:off x="3400425" y="61883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321</xdr:row>
      <xdr:rowOff>114300</xdr:rowOff>
    </xdr:from>
    <xdr:to>
      <xdr:col>4</xdr:col>
      <xdr:colOff>857250</xdr:colOff>
      <xdr:row>321</xdr:row>
      <xdr:rowOff>114301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CxnSpPr/>
      </xdr:nvCxnSpPr>
      <xdr:spPr>
        <a:xfrm>
          <a:off x="3400425" y="620839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322</xdr:row>
      <xdr:rowOff>104775</xdr:rowOff>
    </xdr:from>
    <xdr:to>
      <xdr:col>4</xdr:col>
      <xdr:colOff>857250</xdr:colOff>
      <xdr:row>322</xdr:row>
      <xdr:rowOff>104776</xdr:rowOff>
    </xdr:to>
    <xdr:cxnSp macro="">
      <xdr:nvCxnSpPr>
        <xdr:cNvPr id="50" name="Conector recto de flecha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CxnSpPr/>
      </xdr:nvCxnSpPr>
      <xdr:spPr>
        <a:xfrm>
          <a:off x="3400425" y="62264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323</xdr:row>
      <xdr:rowOff>104775</xdr:rowOff>
    </xdr:from>
    <xdr:to>
      <xdr:col>4</xdr:col>
      <xdr:colOff>857250</xdr:colOff>
      <xdr:row>323</xdr:row>
      <xdr:rowOff>104776</xdr:rowOff>
    </xdr:to>
    <xdr:cxnSp macro="">
      <xdr:nvCxnSpPr>
        <xdr:cNvPr id="51" name="Conector recto de flecha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CxnSpPr/>
      </xdr:nvCxnSpPr>
      <xdr:spPr>
        <a:xfrm>
          <a:off x="3400425" y="62455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331</xdr:row>
      <xdr:rowOff>104775</xdr:rowOff>
    </xdr:from>
    <xdr:to>
      <xdr:col>4</xdr:col>
      <xdr:colOff>857250</xdr:colOff>
      <xdr:row>331</xdr:row>
      <xdr:rowOff>104776</xdr:rowOff>
    </xdr:to>
    <xdr:cxnSp macro="">
      <xdr:nvCxnSpPr>
        <xdr:cNvPr id="52" name="Conector recto de flecha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CxnSpPr/>
      </xdr:nvCxnSpPr>
      <xdr:spPr>
        <a:xfrm>
          <a:off x="3400425" y="63979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332</xdr:row>
      <xdr:rowOff>114300</xdr:rowOff>
    </xdr:from>
    <xdr:to>
      <xdr:col>4</xdr:col>
      <xdr:colOff>857250</xdr:colOff>
      <xdr:row>332</xdr:row>
      <xdr:rowOff>114301</xdr:rowOff>
    </xdr:to>
    <xdr:cxnSp macro="">
      <xdr:nvCxnSpPr>
        <xdr:cNvPr id="53" name="Conector recto de flecha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CxnSpPr/>
      </xdr:nvCxnSpPr>
      <xdr:spPr>
        <a:xfrm>
          <a:off x="3400425" y="64179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333</xdr:row>
      <xdr:rowOff>104775</xdr:rowOff>
    </xdr:from>
    <xdr:to>
      <xdr:col>4</xdr:col>
      <xdr:colOff>857250</xdr:colOff>
      <xdr:row>333</xdr:row>
      <xdr:rowOff>104776</xdr:rowOff>
    </xdr:to>
    <xdr:cxnSp macro="">
      <xdr:nvCxnSpPr>
        <xdr:cNvPr id="54" name="Conector recto de flecha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CxnSpPr/>
      </xdr:nvCxnSpPr>
      <xdr:spPr>
        <a:xfrm>
          <a:off x="3400425" y="64360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334</xdr:row>
      <xdr:rowOff>104775</xdr:rowOff>
    </xdr:from>
    <xdr:to>
      <xdr:col>4</xdr:col>
      <xdr:colOff>857250</xdr:colOff>
      <xdr:row>334</xdr:row>
      <xdr:rowOff>104776</xdr:rowOff>
    </xdr:to>
    <xdr:cxnSp macro="">
      <xdr:nvCxnSpPr>
        <xdr:cNvPr id="55" name="Conector recto de flecha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CxnSpPr/>
      </xdr:nvCxnSpPr>
      <xdr:spPr>
        <a:xfrm>
          <a:off x="3400425" y="64550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281</xdr:row>
      <xdr:rowOff>152399</xdr:rowOff>
    </xdr:from>
    <xdr:to>
      <xdr:col>7</xdr:col>
      <xdr:colOff>314325</xdr:colOff>
      <xdr:row>288</xdr:row>
      <xdr:rowOff>123823</xdr:rowOff>
    </xdr:to>
    <xdr:sp macro="" textlink="">
      <xdr:nvSpPr>
        <xdr:cNvPr id="56" name="Rectángulo redondeado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962025" y="54444899"/>
          <a:ext cx="4819650" cy="1333499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542926</xdr:colOff>
      <xdr:row>297</xdr:row>
      <xdr:rowOff>114299</xdr:rowOff>
    </xdr:from>
    <xdr:to>
      <xdr:col>7</xdr:col>
      <xdr:colOff>238126</xdr:colOff>
      <xdr:row>303</xdr:row>
      <xdr:rowOff>152399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1066801" y="57502424"/>
          <a:ext cx="4638675" cy="11906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523876</xdr:colOff>
      <xdr:row>326</xdr:row>
      <xdr:rowOff>104774</xdr:rowOff>
    </xdr:from>
    <xdr:to>
      <xdr:col>7</xdr:col>
      <xdr:colOff>180976</xdr:colOff>
      <xdr:row>336</xdr:row>
      <xdr:rowOff>133349</xdr:rowOff>
    </xdr:to>
    <xdr:sp macro="" textlink="">
      <xdr:nvSpPr>
        <xdr:cNvPr id="58" name="Rectángulo redondeado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1047751" y="63026924"/>
          <a:ext cx="4600575" cy="193357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0</xdr:colOff>
      <xdr:row>251</xdr:row>
      <xdr:rowOff>104775</xdr:rowOff>
    </xdr:from>
    <xdr:to>
      <xdr:col>4</xdr:col>
      <xdr:colOff>161925</xdr:colOff>
      <xdr:row>251</xdr:row>
      <xdr:rowOff>114300</xdr:rowOff>
    </xdr:to>
    <xdr:cxnSp macro="">
      <xdr:nvCxnSpPr>
        <xdr:cNvPr id="59" name="Conector recto de flecha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CxnSpPr/>
      </xdr:nvCxnSpPr>
      <xdr:spPr>
        <a:xfrm flipV="1">
          <a:off x="2876550" y="48606075"/>
          <a:ext cx="161925" cy="9525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342901</xdr:colOff>
      <xdr:row>248</xdr:row>
      <xdr:rowOff>123824</xdr:rowOff>
    </xdr:from>
    <xdr:to>
      <xdr:col>6</xdr:col>
      <xdr:colOff>381001</xdr:colOff>
      <xdr:row>252</xdr:row>
      <xdr:rowOff>161925</xdr:rowOff>
    </xdr:to>
    <xdr:sp macro="" textlink="">
      <xdr:nvSpPr>
        <xdr:cNvPr id="60" name="Rectángulo redondeado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866776" y="48053624"/>
          <a:ext cx="4181475" cy="800101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666750</xdr:colOff>
      <xdr:row>24</xdr:row>
      <xdr:rowOff>2</xdr:rowOff>
    </xdr:from>
    <xdr:to>
      <xdr:col>2</xdr:col>
      <xdr:colOff>38100</xdr:colOff>
      <xdr:row>26</xdr:row>
      <xdr:rowOff>171450</xdr:rowOff>
    </xdr:to>
    <xdr:sp macro="" textlink="">
      <xdr:nvSpPr>
        <xdr:cNvPr id="61" name="Abrir llave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1190625" y="4619627"/>
          <a:ext cx="66675" cy="552448"/>
        </a:xfrm>
        <a:prstGeom prst="leftBrace">
          <a:avLst/>
        </a:prstGeom>
        <a:ln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523875</xdr:colOff>
      <xdr:row>70</xdr:row>
      <xdr:rowOff>104775</xdr:rowOff>
    </xdr:from>
    <xdr:to>
      <xdr:col>4</xdr:col>
      <xdr:colOff>857250</xdr:colOff>
      <xdr:row>70</xdr:row>
      <xdr:rowOff>104776</xdr:rowOff>
    </xdr:to>
    <xdr:cxnSp macro="">
      <xdr:nvCxnSpPr>
        <xdr:cNvPr id="62" name="Conector recto de flecha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CxnSpPr/>
      </xdr:nvCxnSpPr>
      <xdr:spPr>
        <a:xfrm>
          <a:off x="3400425" y="13496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71</xdr:row>
      <xdr:rowOff>114300</xdr:rowOff>
    </xdr:from>
    <xdr:to>
      <xdr:col>4</xdr:col>
      <xdr:colOff>857250</xdr:colOff>
      <xdr:row>71</xdr:row>
      <xdr:rowOff>114301</xdr:rowOff>
    </xdr:to>
    <xdr:cxnSp macro="">
      <xdr:nvCxnSpPr>
        <xdr:cNvPr id="63" name="Conector recto de flecha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CxnSpPr/>
      </xdr:nvCxnSpPr>
      <xdr:spPr>
        <a:xfrm>
          <a:off x="3400425" y="137064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72</xdr:row>
      <xdr:rowOff>104775</xdr:rowOff>
    </xdr:from>
    <xdr:to>
      <xdr:col>4</xdr:col>
      <xdr:colOff>857250</xdr:colOff>
      <xdr:row>72</xdr:row>
      <xdr:rowOff>104776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CxnSpPr/>
      </xdr:nvCxnSpPr>
      <xdr:spPr>
        <a:xfrm>
          <a:off x="3400425" y="138969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73</xdr:row>
      <xdr:rowOff>104775</xdr:rowOff>
    </xdr:from>
    <xdr:to>
      <xdr:col>4</xdr:col>
      <xdr:colOff>857250</xdr:colOff>
      <xdr:row>73</xdr:row>
      <xdr:rowOff>104776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CxnSpPr/>
      </xdr:nvCxnSpPr>
      <xdr:spPr>
        <a:xfrm>
          <a:off x="3400425" y="1409700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115</xdr:row>
      <xdr:rowOff>114300</xdr:rowOff>
    </xdr:from>
    <xdr:to>
      <xdr:col>2</xdr:col>
      <xdr:colOff>276225</xdr:colOff>
      <xdr:row>115</xdr:row>
      <xdr:rowOff>114301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CxnSpPr/>
      </xdr:nvCxnSpPr>
      <xdr:spPr>
        <a:xfrm>
          <a:off x="1257300" y="22174200"/>
          <a:ext cx="2381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214</xdr:row>
      <xdr:rowOff>104775</xdr:rowOff>
    </xdr:from>
    <xdr:to>
      <xdr:col>4</xdr:col>
      <xdr:colOff>857250</xdr:colOff>
      <xdr:row>214</xdr:row>
      <xdr:rowOff>104776</xdr:rowOff>
    </xdr:to>
    <xdr:cxnSp macro="">
      <xdr:nvCxnSpPr>
        <xdr:cNvPr id="67" name="Conector recto de flecha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CxnSpPr/>
      </xdr:nvCxnSpPr>
      <xdr:spPr>
        <a:xfrm>
          <a:off x="3400425" y="415385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215</xdr:row>
      <xdr:rowOff>114300</xdr:rowOff>
    </xdr:from>
    <xdr:to>
      <xdr:col>4</xdr:col>
      <xdr:colOff>857250</xdr:colOff>
      <xdr:row>215</xdr:row>
      <xdr:rowOff>114301</xdr:rowOff>
    </xdr:to>
    <xdr:cxnSp macro="">
      <xdr:nvCxnSpPr>
        <xdr:cNvPr id="68" name="Conector recto de flecha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CxnSpPr/>
      </xdr:nvCxnSpPr>
      <xdr:spPr>
        <a:xfrm>
          <a:off x="3400425" y="41748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216</xdr:row>
      <xdr:rowOff>104775</xdr:rowOff>
    </xdr:from>
    <xdr:to>
      <xdr:col>4</xdr:col>
      <xdr:colOff>857250</xdr:colOff>
      <xdr:row>216</xdr:row>
      <xdr:rowOff>104776</xdr:rowOff>
    </xdr:to>
    <xdr:cxnSp macro="">
      <xdr:nvCxnSpPr>
        <xdr:cNvPr id="69" name="Conector recto de flecha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CxnSpPr/>
      </xdr:nvCxnSpPr>
      <xdr:spPr>
        <a:xfrm>
          <a:off x="3400425" y="41938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217</xdr:row>
      <xdr:rowOff>104775</xdr:rowOff>
    </xdr:from>
    <xdr:to>
      <xdr:col>4</xdr:col>
      <xdr:colOff>857250</xdr:colOff>
      <xdr:row>217</xdr:row>
      <xdr:rowOff>104776</xdr:rowOff>
    </xdr:to>
    <xdr:cxnSp macro="">
      <xdr:nvCxnSpPr>
        <xdr:cNvPr id="70" name="Conector recto de flecha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CxnSpPr/>
      </xdr:nvCxnSpPr>
      <xdr:spPr>
        <a:xfrm>
          <a:off x="3400425" y="42129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218</xdr:row>
      <xdr:rowOff>104775</xdr:rowOff>
    </xdr:from>
    <xdr:to>
      <xdr:col>4</xdr:col>
      <xdr:colOff>857250</xdr:colOff>
      <xdr:row>218</xdr:row>
      <xdr:rowOff>104776</xdr:rowOff>
    </xdr:to>
    <xdr:cxnSp macro="">
      <xdr:nvCxnSpPr>
        <xdr:cNvPr id="71" name="Conector recto de flecha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CxnSpPr/>
      </xdr:nvCxnSpPr>
      <xdr:spPr>
        <a:xfrm>
          <a:off x="3400425" y="423195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219</xdr:row>
      <xdr:rowOff>104775</xdr:rowOff>
    </xdr:from>
    <xdr:to>
      <xdr:col>4</xdr:col>
      <xdr:colOff>857250</xdr:colOff>
      <xdr:row>219</xdr:row>
      <xdr:rowOff>104776</xdr:rowOff>
    </xdr:to>
    <xdr:cxnSp macro="">
      <xdr:nvCxnSpPr>
        <xdr:cNvPr id="72" name="Conector recto de flecha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CxnSpPr/>
      </xdr:nvCxnSpPr>
      <xdr:spPr>
        <a:xfrm>
          <a:off x="3400425" y="4251007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324</xdr:row>
      <xdr:rowOff>104775</xdr:rowOff>
    </xdr:from>
    <xdr:to>
      <xdr:col>4</xdr:col>
      <xdr:colOff>857250</xdr:colOff>
      <xdr:row>324</xdr:row>
      <xdr:rowOff>104776</xdr:rowOff>
    </xdr:to>
    <xdr:cxnSp macro="">
      <xdr:nvCxnSpPr>
        <xdr:cNvPr id="73" name="Conector recto de flecha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CxnSpPr/>
      </xdr:nvCxnSpPr>
      <xdr:spPr>
        <a:xfrm>
          <a:off x="3400425" y="626459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335</xdr:row>
      <xdr:rowOff>104775</xdr:rowOff>
    </xdr:from>
    <xdr:to>
      <xdr:col>4</xdr:col>
      <xdr:colOff>857250</xdr:colOff>
      <xdr:row>335</xdr:row>
      <xdr:rowOff>104776</xdr:rowOff>
    </xdr:to>
    <xdr:cxnSp macro="">
      <xdr:nvCxnSpPr>
        <xdr:cNvPr id="74" name="Conector recto de flecha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CxnSpPr/>
      </xdr:nvCxnSpPr>
      <xdr:spPr>
        <a:xfrm>
          <a:off x="3400425" y="64741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276225</xdr:colOff>
      <xdr:row>340</xdr:row>
      <xdr:rowOff>28575</xdr:rowOff>
    </xdr:from>
    <xdr:ext cx="1897764" cy="3214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00000000-0008-0000-0700-00004B000000}"/>
                </a:ext>
              </a:extLst>
            </xdr:cNvPr>
            <xdr:cNvSpPr txBox="1"/>
          </xdr:nvSpPr>
          <xdr:spPr>
            <a:xfrm>
              <a:off x="2276475" y="65617725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PE" sz="11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s-PE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𝐶𝑢𝑎𝑑𝑟𝑖𝑙𝑙𝑎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𝑥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𝐽𝑜𝑟𝑛𝑎𝑑𝑎</m:t>
                        </m:r>
                      </m:num>
                      <m:den>
                        <m:r>
                          <a:rPr lang="es-PE" sz="1100" b="0" i="1">
                            <a:latin typeface="Cambria Math" panose="02040503050406030204" pitchFamily="18" charset="0"/>
                          </a:rPr>
                          <m:t>𝑅𝑒𝑛𝑑𝑖𝑚𝑖𝑒𝑛𝑡𝑜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2276475" y="65617725"/>
              <a:ext cx="1897764" cy="3214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PE" sz="1100" b="0" i="0">
                  <a:latin typeface="Cambria Math" panose="02040503050406030204" pitchFamily="18" charset="0"/>
                </a:rPr>
                <a:t>𝐻−𝐻=  (𝐶𝑢𝑎𝑑𝑟𝑖𝑙𝑙𝑎 𝑥 𝐽𝑜𝑟𝑛𝑎𝑑𝑎)/𝑅𝑒𝑛𝑑𝑖𝑚𝑖𝑒𝑛𝑡𝑜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3</xdr:col>
      <xdr:colOff>247650</xdr:colOff>
      <xdr:row>339</xdr:row>
      <xdr:rowOff>161925</xdr:rowOff>
    </xdr:from>
    <xdr:to>
      <xdr:col>5</xdr:col>
      <xdr:colOff>495300</xdr:colOff>
      <xdr:row>342</xdr:row>
      <xdr:rowOff>38100</xdr:rowOff>
    </xdr:to>
    <xdr:sp macro="" textlink="">
      <xdr:nvSpPr>
        <xdr:cNvPr id="76" name="Rectángulo redondeado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2247900" y="65560575"/>
          <a:ext cx="2019300" cy="44767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790575</xdr:colOff>
      <xdr:row>343</xdr:row>
      <xdr:rowOff>104775</xdr:rowOff>
    </xdr:from>
    <xdr:to>
      <xdr:col>5</xdr:col>
      <xdr:colOff>228600</xdr:colOff>
      <xdr:row>343</xdr:row>
      <xdr:rowOff>104776</xdr:rowOff>
    </xdr:to>
    <xdr:cxnSp macro="">
      <xdr:nvCxnSpPr>
        <xdr:cNvPr id="77" name="Conector recto de flecha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CxnSpPr/>
      </xdr:nvCxnSpPr>
      <xdr:spPr>
        <a:xfrm>
          <a:off x="3667125" y="66265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309</xdr:row>
      <xdr:rowOff>104775</xdr:rowOff>
    </xdr:from>
    <xdr:to>
      <xdr:col>4</xdr:col>
      <xdr:colOff>857250</xdr:colOff>
      <xdr:row>309</xdr:row>
      <xdr:rowOff>104776</xdr:rowOff>
    </xdr:to>
    <xdr:cxnSp macro="">
      <xdr:nvCxnSpPr>
        <xdr:cNvPr id="78" name="Conector recto de flecha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CxnSpPr/>
      </xdr:nvCxnSpPr>
      <xdr:spPr>
        <a:xfrm>
          <a:off x="3400425" y="59788425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310</xdr:row>
      <xdr:rowOff>114300</xdr:rowOff>
    </xdr:from>
    <xdr:to>
      <xdr:col>4</xdr:col>
      <xdr:colOff>857250</xdr:colOff>
      <xdr:row>310</xdr:row>
      <xdr:rowOff>114301</xdr:rowOff>
    </xdr:to>
    <xdr:cxnSp macro="">
      <xdr:nvCxnSpPr>
        <xdr:cNvPr id="79" name="Conector recto de flecha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CxnSpPr/>
      </xdr:nvCxnSpPr>
      <xdr:spPr>
        <a:xfrm>
          <a:off x="3400425" y="59988450"/>
          <a:ext cx="33337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271</xdr:row>
      <xdr:rowOff>104775</xdr:rowOff>
    </xdr:from>
    <xdr:to>
      <xdr:col>4</xdr:col>
      <xdr:colOff>142875</xdr:colOff>
      <xdr:row>271</xdr:row>
      <xdr:rowOff>104776</xdr:rowOff>
    </xdr:to>
    <xdr:cxnSp macro="">
      <xdr:nvCxnSpPr>
        <xdr:cNvPr id="80" name="Conector recto de flecha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CxnSpPr/>
      </xdr:nvCxnSpPr>
      <xdr:spPr>
        <a:xfrm>
          <a:off x="2628900" y="52435125"/>
          <a:ext cx="3905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257175</xdr:colOff>
      <xdr:row>268</xdr:row>
      <xdr:rowOff>152400</xdr:rowOff>
    </xdr:from>
    <xdr:to>
      <xdr:col>6</xdr:col>
      <xdr:colOff>476250</xdr:colOff>
      <xdr:row>272</xdr:row>
      <xdr:rowOff>114300</xdr:rowOff>
    </xdr:to>
    <xdr:sp macro="" textlink="">
      <xdr:nvSpPr>
        <xdr:cNvPr id="81" name="Rectángulo redondeado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781050" y="51911250"/>
          <a:ext cx="4362450" cy="733425"/>
        </a:xfrm>
        <a:prstGeom prst="roundRect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457205</xdr:colOff>
      <xdr:row>212</xdr:row>
      <xdr:rowOff>100012</xdr:rowOff>
    </xdr:from>
    <xdr:to>
      <xdr:col>5</xdr:col>
      <xdr:colOff>857251</xdr:colOff>
      <xdr:row>213</xdr:row>
      <xdr:rowOff>180974</xdr:rowOff>
    </xdr:to>
    <xdr:cxnSp macro="">
      <xdr:nvCxnSpPr>
        <xdr:cNvPr id="82" name="Conector angular 8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CxnSpPr>
          <a:stCxn id="83" idx="1"/>
        </xdr:cNvCxnSpPr>
      </xdr:nvCxnSpPr>
      <xdr:spPr>
        <a:xfrm rot="10800000" flipV="1">
          <a:off x="4229105" y="41152762"/>
          <a:ext cx="400046" cy="271462"/>
        </a:xfrm>
        <a:prstGeom prst="bentConnector3">
          <a:avLst>
            <a:gd name="adj1" fmla="val 100000"/>
          </a:avLst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857251</xdr:colOff>
      <xdr:row>211</xdr:row>
      <xdr:rowOff>38099</xdr:rowOff>
    </xdr:from>
    <xdr:to>
      <xdr:col>7</xdr:col>
      <xdr:colOff>704851</xdr:colOff>
      <xdr:row>213</xdr:row>
      <xdr:rowOff>161924</xdr:rowOff>
    </xdr:to>
    <xdr:sp macro="" textlink="">
      <xdr:nvSpPr>
        <xdr:cNvPr id="83" name="Rectángulo redondeado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>
          <a:off x="4629151" y="40900349"/>
          <a:ext cx="1543050" cy="5048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723900</xdr:colOff>
      <xdr:row>17</xdr:row>
      <xdr:rowOff>142875</xdr:rowOff>
    </xdr:from>
    <xdr:to>
      <xdr:col>7</xdr:col>
      <xdr:colOff>171450</xdr:colOff>
      <xdr:row>19</xdr:row>
      <xdr:rowOff>66675</xdr:rowOff>
    </xdr:to>
    <xdr:sp macro="" textlink="">
      <xdr:nvSpPr>
        <xdr:cNvPr id="84" name="Rectángulo redondeado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/>
      </xdr:nvSpPr>
      <xdr:spPr>
        <a:xfrm>
          <a:off x="2724150" y="3429000"/>
          <a:ext cx="2914650" cy="304800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333375</xdr:colOff>
      <xdr:row>80</xdr:row>
      <xdr:rowOff>104775</xdr:rowOff>
    </xdr:from>
    <xdr:to>
      <xdr:col>1</xdr:col>
      <xdr:colOff>685800</xdr:colOff>
      <xdr:row>81</xdr:row>
      <xdr:rowOff>133351</xdr:rowOff>
    </xdr:to>
    <xdr:sp macro="" textlink="">
      <xdr:nvSpPr>
        <xdr:cNvPr id="85" name="Flecha derecha 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/>
      </xdr:nvSpPr>
      <xdr:spPr>
        <a:xfrm>
          <a:off x="857250" y="15440025"/>
          <a:ext cx="352425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0</xdr:colOff>
      <xdr:row>82</xdr:row>
      <xdr:rowOff>0</xdr:rowOff>
    </xdr:from>
    <xdr:to>
      <xdr:col>4</xdr:col>
      <xdr:colOff>0</xdr:colOff>
      <xdr:row>83</xdr:row>
      <xdr:rowOff>47625</xdr:rowOff>
    </xdr:to>
    <xdr:cxnSp macro="">
      <xdr:nvCxnSpPr>
        <xdr:cNvPr id="86" name="Conector recto de flecha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CxnSpPr/>
      </xdr:nvCxnSpPr>
      <xdr:spPr>
        <a:xfrm>
          <a:off x="2876550" y="15716250"/>
          <a:ext cx="0" cy="23812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800100</xdr:colOff>
      <xdr:row>76</xdr:row>
      <xdr:rowOff>171450</xdr:rowOff>
    </xdr:from>
    <xdr:to>
      <xdr:col>8</xdr:col>
      <xdr:colOff>95250</xdr:colOff>
      <xdr:row>79</xdr:row>
      <xdr:rowOff>19050</xdr:rowOff>
    </xdr:to>
    <xdr:sp macro="" textlink="">
      <xdr:nvSpPr>
        <xdr:cNvPr id="87" name="Rectángulo redondeado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4572000" y="14744700"/>
          <a:ext cx="1714500" cy="4191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533400</xdr:colOff>
      <xdr:row>78</xdr:row>
      <xdr:rowOff>9525</xdr:rowOff>
    </xdr:from>
    <xdr:to>
      <xdr:col>5</xdr:col>
      <xdr:colOff>809626</xdr:colOff>
      <xdr:row>78</xdr:row>
      <xdr:rowOff>14288</xdr:rowOff>
    </xdr:to>
    <xdr:cxnSp macro="">
      <xdr:nvCxnSpPr>
        <xdr:cNvPr id="88" name="Conector recto de flecha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CxnSpPr/>
      </xdr:nvCxnSpPr>
      <xdr:spPr>
        <a:xfrm flipH="1" flipV="1">
          <a:off x="4305300" y="14963775"/>
          <a:ext cx="276226" cy="4763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142</xdr:row>
      <xdr:rowOff>142875</xdr:rowOff>
    </xdr:from>
    <xdr:to>
      <xdr:col>6</xdr:col>
      <xdr:colOff>666750</xdr:colOff>
      <xdr:row>144</xdr:row>
      <xdr:rowOff>57150</xdr:rowOff>
    </xdr:to>
    <xdr:sp macro="" textlink="">
      <xdr:nvSpPr>
        <xdr:cNvPr id="89" name="Rectángulo redondeado 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2457450" y="27832050"/>
          <a:ext cx="2876550" cy="295275"/>
        </a:xfrm>
        <a:prstGeom prst="roundRect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152400</xdr:colOff>
      <xdr:row>146</xdr:row>
      <xdr:rowOff>28575</xdr:rowOff>
    </xdr:from>
    <xdr:to>
      <xdr:col>5</xdr:col>
      <xdr:colOff>157162</xdr:colOff>
      <xdr:row>146</xdr:row>
      <xdr:rowOff>180975</xdr:rowOff>
    </xdr:to>
    <xdr:cxnSp macro="">
      <xdr:nvCxnSpPr>
        <xdr:cNvPr id="90" name="Conector recto de flecha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CxnSpPr>
          <a:stCxn id="91" idx="2"/>
        </xdr:cNvCxnSpPr>
      </xdr:nvCxnSpPr>
      <xdr:spPr>
        <a:xfrm flipH="1">
          <a:off x="3924300" y="28498800"/>
          <a:ext cx="4762" cy="15240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790575</xdr:colOff>
      <xdr:row>144</xdr:row>
      <xdr:rowOff>200024</xdr:rowOff>
    </xdr:from>
    <xdr:to>
      <xdr:col>6</xdr:col>
      <xdr:colOff>295274</xdr:colOff>
      <xdr:row>146</xdr:row>
      <xdr:rowOff>28575</xdr:rowOff>
    </xdr:to>
    <xdr:sp macro="" textlink="">
      <xdr:nvSpPr>
        <xdr:cNvPr id="91" name="Rectángulo redondeado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2790825" y="28270199"/>
          <a:ext cx="2171699" cy="228601"/>
        </a:xfrm>
        <a:prstGeom prst="round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9527</xdr:colOff>
      <xdr:row>171</xdr:row>
      <xdr:rowOff>104775</xdr:rowOff>
    </xdr:from>
    <xdr:to>
      <xdr:col>5</xdr:col>
      <xdr:colOff>219075</xdr:colOff>
      <xdr:row>171</xdr:row>
      <xdr:rowOff>104776</xdr:rowOff>
    </xdr:to>
    <xdr:cxnSp macro="">
      <xdr:nvCxnSpPr>
        <xdr:cNvPr id="92" name="Conector recto de flecha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CxnSpPr/>
      </xdr:nvCxnSpPr>
      <xdr:spPr>
        <a:xfrm flipH="1">
          <a:off x="3781427" y="33347025"/>
          <a:ext cx="209548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171</xdr:row>
      <xdr:rowOff>0</xdr:rowOff>
    </xdr:from>
    <xdr:to>
      <xdr:col>1</xdr:col>
      <xdr:colOff>38100</xdr:colOff>
      <xdr:row>172</xdr:row>
      <xdr:rowOff>28576</xdr:rowOff>
    </xdr:to>
    <xdr:sp macro="" textlink="">
      <xdr:nvSpPr>
        <xdr:cNvPr id="93" name="Flecha derecha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200025" y="33242250"/>
          <a:ext cx="361950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19051</xdr:colOff>
      <xdr:row>205</xdr:row>
      <xdr:rowOff>95250</xdr:rowOff>
    </xdr:from>
    <xdr:to>
      <xdr:col>4</xdr:col>
      <xdr:colOff>219075</xdr:colOff>
      <xdr:row>205</xdr:row>
      <xdr:rowOff>95251</xdr:rowOff>
    </xdr:to>
    <xdr:cxnSp macro="">
      <xdr:nvCxnSpPr>
        <xdr:cNvPr id="94" name="Conector recto de flecha 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CxnSpPr/>
      </xdr:nvCxnSpPr>
      <xdr:spPr>
        <a:xfrm flipH="1">
          <a:off x="2895601" y="39814500"/>
          <a:ext cx="200024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203</xdr:row>
      <xdr:rowOff>104775</xdr:rowOff>
    </xdr:from>
    <xdr:to>
      <xdr:col>4</xdr:col>
      <xdr:colOff>352425</xdr:colOff>
      <xdr:row>203</xdr:row>
      <xdr:rowOff>104776</xdr:rowOff>
    </xdr:to>
    <xdr:cxnSp macro="">
      <xdr:nvCxnSpPr>
        <xdr:cNvPr id="95" name="Conector recto de flecha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CxnSpPr/>
      </xdr:nvCxnSpPr>
      <xdr:spPr>
        <a:xfrm flipV="1">
          <a:off x="2914650" y="39443025"/>
          <a:ext cx="314325" cy="1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161925</xdr:colOff>
      <xdr:row>205</xdr:row>
      <xdr:rowOff>0</xdr:rowOff>
    </xdr:from>
    <xdr:to>
      <xdr:col>1</xdr:col>
      <xdr:colOff>0</xdr:colOff>
      <xdr:row>206</xdr:row>
      <xdr:rowOff>28576</xdr:rowOff>
    </xdr:to>
    <xdr:sp macro="" textlink="">
      <xdr:nvSpPr>
        <xdr:cNvPr id="96" name="Flecha derecha 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>
          <a:off x="161925" y="39719250"/>
          <a:ext cx="361950" cy="219076"/>
        </a:xfrm>
        <a:prstGeom prst="rightArrow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419101</xdr:colOff>
      <xdr:row>401</xdr:row>
      <xdr:rowOff>142875</xdr:rowOff>
    </xdr:from>
    <xdr:to>
      <xdr:col>5</xdr:col>
      <xdr:colOff>228600</xdr:colOff>
      <xdr:row>404</xdr:row>
      <xdr:rowOff>85725</xdr:rowOff>
    </xdr:to>
    <xdr:sp macro="" textlink="">
      <xdr:nvSpPr>
        <xdr:cNvPr id="97" name="Rectángulo redondeado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>
          <a:off x="1638301" y="77695425"/>
          <a:ext cx="2362199" cy="542925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483</xdr:row>
      <xdr:rowOff>142875</xdr:rowOff>
    </xdr:from>
    <xdr:to>
      <xdr:col>5</xdr:col>
      <xdr:colOff>228600</xdr:colOff>
      <xdr:row>486</xdr:row>
      <xdr:rowOff>85725</xdr:rowOff>
    </xdr:to>
    <xdr:sp macro="" textlink="">
      <xdr:nvSpPr>
        <xdr:cNvPr id="98" name="Rectángulo redondeado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>
          <a:off x="1638301" y="93430725"/>
          <a:ext cx="2362199" cy="5334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419101</xdr:colOff>
      <xdr:row>506</xdr:row>
      <xdr:rowOff>142875</xdr:rowOff>
    </xdr:from>
    <xdr:to>
      <xdr:col>5</xdr:col>
      <xdr:colOff>228600</xdr:colOff>
      <xdr:row>509</xdr:row>
      <xdr:rowOff>85725</xdr:rowOff>
    </xdr:to>
    <xdr:sp macro="" textlink="">
      <xdr:nvSpPr>
        <xdr:cNvPr id="99" name="Rectángulo redondeado 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/>
      </xdr:nvSpPr>
      <xdr:spPr>
        <a:xfrm>
          <a:off x="1638301" y="97831275"/>
          <a:ext cx="2362199" cy="533400"/>
        </a:xfrm>
        <a:prstGeom prst="round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S573"/>
  <sheetViews>
    <sheetView tabSelected="1" view="pageBreakPreview" zoomScaleNormal="100" zoomScaleSheetLayoutView="100" workbookViewId="0">
      <selection activeCell="M22" sqref="M22"/>
    </sheetView>
  </sheetViews>
  <sheetFormatPr baseColWidth="10" defaultRowHeight="15" x14ac:dyDescent="0.25"/>
  <cols>
    <col min="1" max="1" width="8.28515625" customWidth="1"/>
    <col min="2" max="2" width="10.42578125" customWidth="1"/>
    <col min="3" max="3" width="11.5703125" customWidth="1"/>
    <col min="4" max="4" width="12" customWidth="1"/>
    <col min="5" max="6" width="13.42578125" customWidth="1"/>
    <col min="7" max="7" width="11" customWidth="1"/>
    <col min="8" max="8" width="10.85546875" customWidth="1"/>
  </cols>
  <sheetData>
    <row r="1" spans="1:9" ht="15" customHeight="1" x14ac:dyDescent="0.25">
      <c r="A1" s="827" t="s">
        <v>182</v>
      </c>
      <c r="B1" s="828"/>
      <c r="C1" s="828"/>
      <c r="D1" s="828"/>
      <c r="E1" s="828"/>
      <c r="F1" s="828"/>
      <c r="G1" s="828"/>
      <c r="H1" s="828"/>
      <c r="I1" s="829"/>
    </row>
    <row r="2" spans="1:9" ht="15" customHeight="1" thickBot="1" x14ac:dyDescent="0.3">
      <c r="A2" s="830"/>
      <c r="B2" s="831"/>
      <c r="C2" s="831"/>
      <c r="D2" s="831"/>
      <c r="E2" s="831"/>
      <c r="F2" s="831"/>
      <c r="G2" s="831"/>
      <c r="H2" s="831"/>
      <c r="I2" s="832"/>
    </row>
    <row r="3" spans="1:9" ht="15" customHeight="1" x14ac:dyDescent="0.25">
      <c r="A3" s="3"/>
      <c r="B3" s="163"/>
      <c r="C3" s="163"/>
      <c r="D3" s="163"/>
      <c r="E3" s="163"/>
      <c r="F3" s="163"/>
      <c r="G3" s="163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15.75" x14ac:dyDescent="0.25">
      <c r="A14" s="536" t="s">
        <v>0</v>
      </c>
      <c r="B14" s="536"/>
      <c r="C14" s="536"/>
      <c r="D14" s="2"/>
      <c r="E14" s="2"/>
      <c r="F14" s="2"/>
      <c r="G14" s="2"/>
      <c r="H14" s="2"/>
      <c r="I14" s="2"/>
    </row>
    <row r="15" spans="1:9" ht="15.75" x14ac:dyDescent="0.25">
      <c r="A15" s="165"/>
      <c r="B15" s="165"/>
      <c r="C15" s="165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166" t="s">
        <v>183</v>
      </c>
      <c r="B17" s="166"/>
      <c r="C17" s="166"/>
      <c r="D17" s="22"/>
      <c r="E17" s="167" t="s">
        <v>323</v>
      </c>
      <c r="F17" s="2"/>
      <c r="G17" s="2"/>
      <c r="H17" s="2"/>
      <c r="I17" s="2"/>
    </row>
    <row r="18" spans="1:9" x14ac:dyDescent="0.25">
      <c r="A18" s="22"/>
      <c r="B18" s="2"/>
      <c r="C18" s="2"/>
      <c r="D18" s="168"/>
      <c r="E18" s="168"/>
      <c r="F18" s="168"/>
      <c r="G18" s="168"/>
      <c r="H18" s="168"/>
      <c r="I18" s="2"/>
    </row>
    <row r="19" spans="1:9" x14ac:dyDescent="0.25">
      <c r="A19" s="22"/>
      <c r="B19" s="2"/>
      <c r="C19" s="2"/>
      <c r="D19" s="168"/>
      <c r="E19" s="168"/>
      <c r="F19" s="168"/>
      <c r="G19" s="168"/>
      <c r="H19" s="168"/>
      <c r="I19" s="2"/>
    </row>
    <row r="20" spans="1:9" x14ac:dyDescent="0.25">
      <c r="A20" s="166" t="s">
        <v>324</v>
      </c>
      <c r="B20" s="166"/>
      <c r="C20" s="166"/>
      <c r="D20" s="255"/>
      <c r="E20" s="168"/>
      <c r="F20" s="168"/>
      <c r="G20" s="168"/>
      <c r="H20" s="168"/>
      <c r="I20" s="2"/>
    </row>
    <row r="21" spans="1:9" x14ac:dyDescent="0.25">
      <c r="A21" s="22"/>
      <c r="B21" s="22"/>
      <c r="C21" s="22"/>
      <c r="D21" s="168"/>
      <c r="E21" s="168"/>
      <c r="F21" s="168"/>
      <c r="G21" s="168"/>
      <c r="H21" s="168"/>
      <c r="I21" s="2"/>
    </row>
    <row r="22" spans="1:9" x14ac:dyDescent="0.25">
      <c r="A22" s="2"/>
      <c r="B22" s="100" t="s">
        <v>184</v>
      </c>
      <c r="C22" s="101"/>
      <c r="D22" s="104" t="s">
        <v>185</v>
      </c>
      <c r="E22" s="2"/>
      <c r="F22" s="2"/>
      <c r="G22" s="2"/>
      <c r="H22" s="2"/>
      <c r="I22" s="2"/>
    </row>
    <row r="23" spans="1:9" x14ac:dyDescent="0.25">
      <c r="A23" s="2"/>
      <c r="B23" s="22"/>
      <c r="C23" s="2"/>
      <c r="D23" s="104"/>
      <c r="E23" s="2"/>
      <c r="F23" s="2"/>
      <c r="G23" s="2"/>
      <c r="H23" s="2"/>
      <c r="I23" s="2"/>
    </row>
    <row r="24" spans="1:9" x14ac:dyDescent="0.25">
      <c r="A24" s="2"/>
      <c r="B24" s="2"/>
      <c r="C24" s="537" t="s">
        <v>186</v>
      </c>
      <c r="D24" s="537"/>
      <c r="E24" s="537"/>
      <c r="F24" s="537"/>
      <c r="G24" s="537"/>
      <c r="H24" s="537"/>
      <c r="I24" s="2"/>
    </row>
    <row r="25" spans="1:9" ht="15.75" x14ac:dyDescent="0.25">
      <c r="A25" s="2"/>
      <c r="B25" s="2"/>
      <c r="C25" s="507" t="s">
        <v>278</v>
      </c>
      <c r="D25" s="504" t="s">
        <v>187</v>
      </c>
      <c r="E25" s="497" t="s">
        <v>279</v>
      </c>
      <c r="F25" s="497"/>
      <c r="G25" s="497"/>
      <c r="H25" s="497"/>
      <c r="I25" s="2"/>
    </row>
    <row r="26" spans="1:9" x14ac:dyDescent="0.25">
      <c r="A26" s="2"/>
      <c r="B26" s="2"/>
      <c r="C26" s="507"/>
      <c r="D26" s="504"/>
      <c r="E26" s="169" t="s">
        <v>188</v>
      </c>
      <c r="F26" s="169" t="s">
        <v>280</v>
      </c>
      <c r="G26" s="169" t="s">
        <v>281</v>
      </c>
      <c r="H26" s="169" t="s">
        <v>282</v>
      </c>
      <c r="I26" s="2"/>
    </row>
    <row r="27" spans="1:9" x14ac:dyDescent="0.25">
      <c r="A27" s="2"/>
      <c r="B27" s="2"/>
      <c r="C27" s="11">
        <v>140</v>
      </c>
      <c r="D27" s="11" t="s">
        <v>189</v>
      </c>
      <c r="E27" s="12">
        <v>7.01</v>
      </c>
      <c r="F27" s="12">
        <v>0.56000000000000005</v>
      </c>
      <c r="G27" s="12">
        <v>0.64</v>
      </c>
      <c r="H27" s="170">
        <v>0.184</v>
      </c>
      <c r="I27" s="2"/>
    </row>
    <row r="28" spans="1:9" x14ac:dyDescent="0.25">
      <c r="A28" s="2"/>
      <c r="B28" s="2"/>
      <c r="C28" s="11">
        <v>175</v>
      </c>
      <c r="D28" s="11" t="s">
        <v>190</v>
      </c>
      <c r="E28" s="12">
        <v>8.43</v>
      </c>
      <c r="F28" s="12">
        <v>0.54</v>
      </c>
      <c r="G28" s="12">
        <v>0.55000000000000004</v>
      </c>
      <c r="H28" s="170">
        <v>0.185</v>
      </c>
      <c r="I28" s="2"/>
    </row>
    <row r="29" spans="1:9" ht="15" customHeight="1" x14ac:dyDescent="0.25">
      <c r="A29" s="7"/>
      <c r="B29" s="545" t="s">
        <v>339</v>
      </c>
      <c r="C29" s="11">
        <v>210</v>
      </c>
      <c r="D29" s="171" t="s">
        <v>283</v>
      </c>
      <c r="E29" s="12">
        <v>9.73</v>
      </c>
      <c r="F29" s="12">
        <v>0.52</v>
      </c>
      <c r="G29" s="12">
        <v>0.53</v>
      </c>
      <c r="H29" s="170">
        <v>0.186</v>
      </c>
      <c r="I29" s="2"/>
    </row>
    <row r="30" spans="1:9" ht="15" customHeight="1" x14ac:dyDescent="0.25">
      <c r="A30" s="7"/>
      <c r="B30" s="545"/>
      <c r="C30" s="11">
        <v>245</v>
      </c>
      <c r="D30" s="171" t="s">
        <v>191</v>
      </c>
      <c r="E30" s="12">
        <v>11.5</v>
      </c>
      <c r="F30" s="12">
        <v>0.5</v>
      </c>
      <c r="G30" s="12">
        <v>0.51</v>
      </c>
      <c r="H30" s="170">
        <v>0.187</v>
      </c>
      <c r="I30" s="2"/>
    </row>
    <row r="31" spans="1:9" ht="15" customHeight="1" x14ac:dyDescent="0.25">
      <c r="A31" s="7"/>
      <c r="B31" s="545"/>
      <c r="C31" s="11">
        <v>280</v>
      </c>
      <c r="D31" s="171" t="s">
        <v>284</v>
      </c>
      <c r="E31" s="12">
        <v>13.34</v>
      </c>
      <c r="F31" s="12">
        <v>0.45</v>
      </c>
      <c r="G31" s="12">
        <v>0.51</v>
      </c>
      <c r="H31" s="170">
        <v>0.189</v>
      </c>
      <c r="I31" s="2"/>
    </row>
    <row r="32" spans="1:9" x14ac:dyDescent="0.25">
      <c r="A32" s="7"/>
      <c r="B32" s="545"/>
      <c r="C32" s="172" t="s">
        <v>285</v>
      </c>
      <c r="D32" s="68"/>
      <c r="E32" s="68"/>
      <c r="F32" s="68"/>
      <c r="G32" s="68"/>
      <c r="H32" s="68"/>
      <c r="I32" s="2"/>
    </row>
    <row r="33" spans="1:10" x14ac:dyDescent="0.25">
      <c r="A33" s="7"/>
      <c r="B33" s="545"/>
      <c r="C33" s="98"/>
      <c r="D33" s="68"/>
      <c r="E33" s="68"/>
      <c r="F33" s="68"/>
      <c r="G33" s="68"/>
      <c r="H33" s="68"/>
      <c r="I33" s="2"/>
    </row>
    <row r="34" spans="1:10" x14ac:dyDescent="0.25">
      <c r="A34" s="7"/>
      <c r="B34" s="545"/>
      <c r="C34" s="6" t="s">
        <v>192</v>
      </c>
      <c r="D34" s="68"/>
      <c r="E34" s="17">
        <v>210</v>
      </c>
      <c r="F34" s="35" t="s">
        <v>193</v>
      </c>
      <c r="G34" s="548" t="s">
        <v>194</v>
      </c>
      <c r="H34" s="548"/>
      <c r="I34" s="2"/>
    </row>
    <row r="35" spans="1:10" x14ac:dyDescent="0.25">
      <c r="A35" s="7"/>
      <c r="B35" s="545"/>
      <c r="C35" s="173"/>
      <c r="D35" s="2"/>
      <c r="E35" s="2"/>
      <c r="F35" s="2"/>
      <c r="G35" s="548"/>
      <c r="H35" s="548"/>
      <c r="I35" s="2"/>
    </row>
    <row r="36" spans="1:10" x14ac:dyDescent="0.25">
      <c r="A36" s="2"/>
      <c r="B36" s="2"/>
      <c r="C36" s="173"/>
      <c r="D36" s="2"/>
      <c r="E36" s="2"/>
      <c r="F36" s="2"/>
      <c r="G36" s="174"/>
      <c r="H36" s="174"/>
      <c r="I36" s="2"/>
    </row>
    <row r="37" spans="1:10" ht="15.75" x14ac:dyDescent="0.25">
      <c r="A37" s="2"/>
      <c r="B37" s="2"/>
      <c r="C37" s="25" t="s">
        <v>195</v>
      </c>
      <c r="D37" s="2"/>
      <c r="E37" s="2"/>
      <c r="F37" s="175">
        <f>IF(E34=C27,E27,IF(AND(E34=C28),E28,IF(AND(E34=C29),E29,IF(AND(E34=C30),E30,IF(AND(E34=C31),E31)))))</f>
        <v>9.73</v>
      </c>
      <c r="G37" s="25" t="s">
        <v>286</v>
      </c>
      <c r="H37" s="25"/>
      <c r="I37" s="2"/>
    </row>
    <row r="38" spans="1:10" ht="15.75" x14ac:dyDescent="0.25">
      <c r="A38" s="2"/>
      <c r="B38" s="2"/>
      <c r="C38" s="25" t="s">
        <v>196</v>
      </c>
      <c r="D38" s="2"/>
      <c r="E38" s="2"/>
      <c r="F38" s="175">
        <f>IF(E34=C27,F27,IF(AND(E34=C28),F28,IF(AND(E34=C29),F29,IF(AND(E34=C30),F30,IF(AND(E34=C31),F31)))))</f>
        <v>0.52</v>
      </c>
      <c r="G38" s="25" t="s">
        <v>287</v>
      </c>
      <c r="H38" s="25"/>
      <c r="I38" s="2"/>
    </row>
    <row r="39" spans="1:10" ht="15.75" x14ac:dyDescent="0.25">
      <c r="A39" s="2"/>
      <c r="B39" s="2"/>
      <c r="C39" s="25" t="s">
        <v>197</v>
      </c>
      <c r="D39" s="2"/>
      <c r="E39" s="2"/>
      <c r="F39" s="175">
        <f>IF(E34=C27,G27,IF(AND(E34=C28),G28,IF(AND(E34=C29),G29,IF(AND(E34=C30),G30,IF(AND(E34=C31),G31)))))</f>
        <v>0.53</v>
      </c>
      <c r="G39" s="25" t="s">
        <v>287</v>
      </c>
      <c r="H39" s="25"/>
      <c r="I39" s="2"/>
    </row>
    <row r="40" spans="1:10" ht="15.75" x14ac:dyDescent="0.25">
      <c r="A40" s="2"/>
      <c r="B40" s="2"/>
      <c r="C40" s="25" t="s">
        <v>198</v>
      </c>
      <c r="D40" s="2"/>
      <c r="E40" s="2"/>
      <c r="F40" s="176">
        <f>IF(E34=C27,H27,IF(AND(E34=C28),H28,IF(AND(E34=C29),H29,IF(AND(E34=C30),H30,IF(AND(E34=C31),H31)))))</f>
        <v>0.186</v>
      </c>
      <c r="G40" s="25" t="s">
        <v>287</v>
      </c>
      <c r="H40" s="25"/>
      <c r="I40" s="2"/>
    </row>
    <row r="41" spans="1:10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10" ht="15" customHeight="1" x14ac:dyDescent="0.25">
      <c r="A42" s="2"/>
      <c r="B42" s="522" t="s">
        <v>4</v>
      </c>
      <c r="C42" s="2"/>
      <c r="D42" s="2"/>
      <c r="E42" s="2"/>
      <c r="F42" s="2"/>
      <c r="G42" s="2"/>
      <c r="H42" s="2"/>
      <c r="I42" s="2"/>
    </row>
    <row r="43" spans="1:10" x14ac:dyDescent="0.25">
      <c r="A43" s="2"/>
      <c r="B43" s="522"/>
      <c r="C43" s="2" t="s">
        <v>342</v>
      </c>
      <c r="D43" s="18"/>
      <c r="E43" s="7"/>
      <c r="F43" s="20">
        <v>0.05</v>
      </c>
      <c r="G43" s="13"/>
      <c r="H43" s="2"/>
      <c r="I43" s="21"/>
      <c r="J43" s="300"/>
    </row>
    <row r="44" spans="1:10" x14ac:dyDescent="0.25">
      <c r="A44" s="2"/>
      <c r="B44" s="522"/>
      <c r="C44" s="2"/>
      <c r="D44" s="2"/>
      <c r="E44" s="2"/>
      <c r="F44" s="2"/>
      <c r="G44" s="2"/>
      <c r="H44" s="2"/>
      <c r="I44" s="2"/>
    </row>
    <row r="45" spans="1:10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10" x14ac:dyDescent="0.25">
      <c r="A46" s="2"/>
      <c r="B46" s="100" t="s">
        <v>107</v>
      </c>
      <c r="C46" s="101"/>
      <c r="D46" s="101"/>
      <c r="E46" s="2"/>
      <c r="F46" s="2"/>
      <c r="G46" s="2"/>
      <c r="H46" s="2"/>
      <c r="I46" s="2"/>
    </row>
    <row r="47" spans="1:10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10" ht="15" customHeight="1" x14ac:dyDescent="0.25">
      <c r="A48" s="2"/>
      <c r="B48" s="28" t="s">
        <v>147</v>
      </c>
      <c r="C48" s="6" t="s">
        <v>108</v>
      </c>
      <c r="D48" s="2"/>
      <c r="E48" s="103">
        <v>0.3</v>
      </c>
      <c r="F48" s="2" t="s">
        <v>109</v>
      </c>
      <c r="G48" s="523" t="s">
        <v>348</v>
      </c>
      <c r="H48" s="523"/>
      <c r="I48" s="2"/>
    </row>
    <row r="49" spans="1:9" ht="15.75" x14ac:dyDescent="0.25">
      <c r="A49" s="2"/>
      <c r="B49" s="257" t="s">
        <v>148</v>
      </c>
      <c r="C49" s="6" t="s">
        <v>111</v>
      </c>
      <c r="D49" s="2"/>
      <c r="E49" s="103">
        <v>8.0000000000000002E-3</v>
      </c>
      <c r="F49" s="2" t="s">
        <v>112</v>
      </c>
      <c r="G49" s="523"/>
      <c r="H49" s="523"/>
      <c r="I49" s="2"/>
    </row>
    <row r="50" spans="1:9" x14ac:dyDescent="0.25">
      <c r="A50" s="2"/>
      <c r="B50" s="2"/>
      <c r="C50" s="2"/>
      <c r="D50" s="2"/>
      <c r="E50" s="2"/>
      <c r="F50" s="2"/>
      <c r="G50" s="256"/>
      <c r="H50" s="256"/>
      <c r="I50" s="2"/>
    </row>
    <row r="51" spans="1:9" ht="15" customHeight="1" x14ac:dyDescent="0.25">
      <c r="A51" s="2"/>
      <c r="B51" s="2"/>
      <c r="C51" s="25" t="s">
        <v>345</v>
      </c>
      <c r="D51" s="2"/>
      <c r="E51" s="2"/>
      <c r="F51" s="2"/>
      <c r="G51" s="258" t="s">
        <v>148</v>
      </c>
      <c r="H51" s="546" t="s">
        <v>349</v>
      </c>
      <c r="I51" s="546"/>
    </row>
    <row r="52" spans="1:9" x14ac:dyDescent="0.25">
      <c r="A52" s="2"/>
      <c r="B52" s="2"/>
      <c r="C52" s="25" t="s">
        <v>346</v>
      </c>
      <c r="D52" s="2"/>
      <c r="E52" s="2"/>
      <c r="F52" s="2"/>
      <c r="G52" s="258" t="s">
        <v>148</v>
      </c>
      <c r="H52" s="546"/>
      <c r="I52" s="546"/>
    </row>
    <row r="53" spans="1:9" x14ac:dyDescent="0.25">
      <c r="A53" s="2"/>
      <c r="B53" s="2"/>
      <c r="C53" s="25"/>
      <c r="D53" s="2"/>
      <c r="E53" s="2"/>
      <c r="F53" s="2"/>
      <c r="G53" s="283"/>
      <c r="H53" s="262"/>
      <c r="I53" s="262"/>
    </row>
    <row r="54" spans="1:9" x14ac:dyDescent="0.25">
      <c r="A54" s="2"/>
      <c r="B54" s="2"/>
      <c r="C54" s="282" t="s">
        <v>395</v>
      </c>
      <c r="D54" s="2"/>
      <c r="E54" s="2"/>
      <c r="F54" s="2"/>
      <c r="G54" s="2"/>
      <c r="H54" s="2"/>
      <c r="I54" s="2"/>
    </row>
    <row r="55" spans="1:9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5">
      <c r="A57" s="2"/>
      <c r="B57" s="100" t="s">
        <v>199</v>
      </c>
      <c r="C57" s="101"/>
      <c r="D57" s="101"/>
      <c r="E57" s="2"/>
      <c r="F57" s="2"/>
      <c r="G57" s="2"/>
      <c r="H57" s="2"/>
      <c r="I57" s="2"/>
    </row>
    <row r="58" spans="1:9" x14ac:dyDescent="0.25">
      <c r="A58" s="2"/>
      <c r="B58" s="2"/>
      <c r="C58" s="537" t="s">
        <v>200</v>
      </c>
      <c r="D58" s="537"/>
      <c r="E58" s="537"/>
      <c r="F58" s="537"/>
      <c r="G58" s="537"/>
      <c r="H58" s="537"/>
      <c r="I58" s="2"/>
    </row>
    <row r="59" spans="1:9" x14ac:dyDescent="0.25">
      <c r="A59" s="2"/>
      <c r="B59" s="2"/>
      <c r="C59" s="507" t="s">
        <v>201</v>
      </c>
      <c r="D59" s="504" t="s">
        <v>202</v>
      </c>
      <c r="E59" s="504"/>
      <c r="F59" s="521" t="s">
        <v>203</v>
      </c>
      <c r="G59" s="521"/>
      <c r="H59" s="521"/>
      <c r="I59" s="2"/>
    </row>
    <row r="60" spans="1:9" x14ac:dyDescent="0.25">
      <c r="A60" s="2"/>
      <c r="B60" s="2"/>
      <c r="C60" s="507"/>
      <c r="D60" s="177" t="s">
        <v>204</v>
      </c>
      <c r="E60" s="177" t="s">
        <v>205</v>
      </c>
      <c r="F60" s="26" t="s">
        <v>288</v>
      </c>
      <c r="G60" s="26" t="s">
        <v>206</v>
      </c>
      <c r="H60" s="178" t="s">
        <v>207</v>
      </c>
      <c r="I60" s="2"/>
    </row>
    <row r="61" spans="1:9" ht="15" customHeight="1" x14ac:dyDescent="0.25">
      <c r="A61" s="2"/>
      <c r="B61" s="7"/>
      <c r="C61" s="12" t="str">
        <f>+D61</f>
        <v>3/8"</v>
      </c>
      <c r="D61" s="12" t="s">
        <v>208</v>
      </c>
      <c r="E61" s="12" t="s">
        <v>209</v>
      </c>
      <c r="F61" s="12">
        <v>0.71</v>
      </c>
      <c r="G61" s="12">
        <v>2.99</v>
      </c>
      <c r="H61" s="170">
        <v>0.55700000000000005</v>
      </c>
      <c r="I61" s="2"/>
    </row>
    <row r="62" spans="1:9" ht="15" customHeight="1" x14ac:dyDescent="0.25">
      <c r="A62" s="2"/>
      <c r="B62" s="7"/>
      <c r="C62" s="12" t="str">
        <f>+D62</f>
        <v>1/2"</v>
      </c>
      <c r="D62" s="12" t="s">
        <v>210</v>
      </c>
      <c r="E62" s="12" t="s">
        <v>209</v>
      </c>
      <c r="F62" s="12">
        <v>1.29</v>
      </c>
      <c r="G62" s="12">
        <v>3.99</v>
      </c>
      <c r="H62" s="170">
        <v>0.99399999999999999</v>
      </c>
      <c r="I62" s="2"/>
    </row>
    <row r="63" spans="1:9" x14ac:dyDescent="0.25">
      <c r="A63" s="2"/>
      <c r="B63" s="7"/>
      <c r="C63" s="12" t="str">
        <f>+D63</f>
        <v>5/8"</v>
      </c>
      <c r="D63" s="12" t="s">
        <v>211</v>
      </c>
      <c r="E63" s="12" t="s">
        <v>209</v>
      </c>
      <c r="F63" s="12">
        <v>1.99</v>
      </c>
      <c r="G63" s="12">
        <v>4.99</v>
      </c>
      <c r="H63" s="170">
        <v>1.552</v>
      </c>
      <c r="I63" s="2"/>
    </row>
    <row r="64" spans="1:9" x14ac:dyDescent="0.25">
      <c r="A64" s="2"/>
      <c r="B64" s="7"/>
      <c r="C64" s="12" t="str">
        <f>+D64</f>
        <v>3/4"</v>
      </c>
      <c r="D64" s="12" t="s">
        <v>212</v>
      </c>
      <c r="E64" s="12" t="s">
        <v>209</v>
      </c>
      <c r="F64" s="12">
        <v>2.84</v>
      </c>
      <c r="G64" s="12">
        <v>5.98</v>
      </c>
      <c r="H64" s="170">
        <v>2.2349999999999999</v>
      </c>
      <c r="I64" s="2"/>
    </row>
    <row r="65" spans="1:9" ht="15" customHeight="1" x14ac:dyDescent="0.25">
      <c r="A65" s="2"/>
      <c r="B65" s="545" t="s">
        <v>340</v>
      </c>
      <c r="C65" s="179"/>
      <c r="D65" s="179"/>
      <c r="E65" s="179"/>
      <c r="F65" s="179"/>
      <c r="G65" s="179"/>
      <c r="H65" s="180"/>
      <c r="I65" s="2"/>
    </row>
    <row r="66" spans="1:9" ht="15" customHeight="1" x14ac:dyDescent="0.25">
      <c r="A66" s="2"/>
      <c r="B66" s="545"/>
      <c r="C66" s="179"/>
      <c r="D66" s="179"/>
      <c r="E66" s="179"/>
      <c r="F66" s="179"/>
      <c r="G66" s="179"/>
      <c r="H66" s="180"/>
      <c r="I66" s="2"/>
    </row>
    <row r="67" spans="1:9" ht="15" customHeight="1" x14ac:dyDescent="0.25">
      <c r="A67" s="2"/>
      <c r="B67" s="545"/>
      <c r="C67" s="179"/>
      <c r="D67" s="179"/>
      <c r="E67" s="179"/>
      <c r="F67" s="541" t="s">
        <v>213</v>
      </c>
      <c r="G67" s="542"/>
      <c r="H67" s="542"/>
      <c r="I67" s="2"/>
    </row>
    <row r="68" spans="1:9" ht="15" customHeight="1" x14ac:dyDescent="0.25">
      <c r="A68" s="2"/>
      <c r="B68" s="545"/>
      <c r="C68" s="179"/>
      <c r="D68" s="179"/>
      <c r="E68" s="179"/>
      <c r="F68" s="542"/>
      <c r="G68" s="542"/>
      <c r="H68" s="542"/>
      <c r="I68" s="2"/>
    </row>
    <row r="69" spans="1:9" ht="15" customHeight="1" x14ac:dyDescent="0.25">
      <c r="A69" s="2"/>
      <c r="B69" s="545"/>
      <c r="C69" s="6" t="s">
        <v>214</v>
      </c>
      <c r="D69" s="2"/>
      <c r="E69" s="2"/>
      <c r="F69" s="2"/>
      <c r="G69" s="2"/>
      <c r="H69" s="2"/>
      <c r="I69" s="2"/>
    </row>
    <row r="70" spans="1:9" ht="15" customHeight="1" x14ac:dyDescent="0.25">
      <c r="A70" s="2"/>
      <c r="B70" s="545"/>
      <c r="C70" s="181" t="s">
        <v>147</v>
      </c>
      <c r="D70" s="543" t="s">
        <v>289</v>
      </c>
      <c r="E70" s="544"/>
      <c r="F70" s="182" t="s">
        <v>148</v>
      </c>
      <c r="G70" s="183"/>
      <c r="H70" s="184"/>
      <c r="I70" s="2"/>
    </row>
    <row r="71" spans="1:9" x14ac:dyDescent="0.25">
      <c r="A71" s="2"/>
      <c r="B71" s="7"/>
      <c r="C71" s="181" t="s">
        <v>148</v>
      </c>
      <c r="D71" s="543" t="s">
        <v>290</v>
      </c>
      <c r="E71" s="544"/>
      <c r="F71" s="182" t="s">
        <v>147</v>
      </c>
      <c r="G71" s="183"/>
      <c r="H71" s="184"/>
      <c r="I71" s="2"/>
    </row>
    <row r="72" spans="1:9" x14ac:dyDescent="0.25">
      <c r="A72" s="2"/>
      <c r="B72" s="7"/>
      <c r="C72" s="25"/>
      <c r="D72" s="543" t="s">
        <v>291</v>
      </c>
      <c r="E72" s="544"/>
      <c r="F72" s="182" t="s">
        <v>147</v>
      </c>
      <c r="G72" s="183"/>
      <c r="H72" s="184"/>
      <c r="I72" s="2"/>
    </row>
    <row r="73" spans="1:9" x14ac:dyDescent="0.25">
      <c r="A73" s="2"/>
      <c r="B73" s="7"/>
      <c r="C73" s="2"/>
      <c r="D73" s="543" t="s">
        <v>292</v>
      </c>
      <c r="E73" s="544"/>
      <c r="F73" s="182" t="s">
        <v>148</v>
      </c>
      <c r="G73" s="183"/>
      <c r="H73" s="184"/>
      <c r="I73" s="2"/>
    </row>
    <row r="74" spans="1:9" x14ac:dyDescent="0.25">
      <c r="A74" s="2"/>
      <c r="B74" s="2"/>
      <c r="C74" s="2"/>
      <c r="D74" s="185"/>
      <c r="E74" s="185"/>
      <c r="F74" s="186"/>
      <c r="G74" s="187"/>
      <c r="H74" s="187"/>
      <c r="I74" s="2"/>
    </row>
    <row r="75" spans="1:9" x14ac:dyDescent="0.25">
      <c r="A75" s="2"/>
      <c r="B75" s="2"/>
      <c r="C75" s="2"/>
      <c r="D75" s="179"/>
      <c r="E75" s="6"/>
      <c r="F75" s="2"/>
      <c r="G75" s="184"/>
      <c r="H75" s="184"/>
      <c r="I75" s="2"/>
    </row>
    <row r="76" spans="1:9" ht="15.75" customHeight="1" x14ac:dyDescent="0.25">
      <c r="A76" s="2"/>
      <c r="B76" s="2"/>
      <c r="C76" s="6" t="s">
        <v>215</v>
      </c>
      <c r="D76" s="2"/>
      <c r="E76" s="2"/>
      <c r="F76" s="17">
        <v>0.05</v>
      </c>
      <c r="G76" s="2" t="s">
        <v>216</v>
      </c>
      <c r="H76" s="533" t="s">
        <v>217</v>
      </c>
      <c r="I76" s="2"/>
    </row>
    <row r="77" spans="1:9" ht="15.75" customHeight="1" x14ac:dyDescent="0.25">
      <c r="A77" s="2"/>
      <c r="B77" s="2"/>
      <c r="C77" s="6"/>
      <c r="D77" s="2"/>
      <c r="E77" s="2"/>
      <c r="F77" s="19"/>
      <c r="G77" s="2"/>
      <c r="H77" s="533"/>
      <c r="I77" s="21"/>
    </row>
    <row r="78" spans="1:9" ht="15" customHeight="1" x14ac:dyDescent="0.25">
      <c r="A78" s="2"/>
      <c r="B78" s="2"/>
      <c r="C78" s="2"/>
      <c r="D78" s="2"/>
      <c r="E78" s="2"/>
      <c r="F78" s="2"/>
      <c r="G78" s="2"/>
      <c r="H78" s="533"/>
      <c r="I78" s="21"/>
    </row>
    <row r="79" spans="1:9" ht="15" customHeight="1" x14ac:dyDescent="0.25">
      <c r="A79" s="2"/>
      <c r="B79" s="2"/>
      <c r="C79" s="2"/>
      <c r="D79" s="2"/>
      <c r="E79" s="2"/>
      <c r="F79" s="2"/>
      <c r="G79" s="2"/>
      <c r="H79" s="533"/>
      <c r="I79" s="21"/>
    </row>
    <row r="80" spans="1:9" x14ac:dyDescent="0.25">
      <c r="A80" s="2"/>
      <c r="B80" s="100" t="s">
        <v>218</v>
      </c>
      <c r="C80" s="101"/>
      <c r="D80" s="101"/>
      <c r="E80" s="2"/>
      <c r="F80" s="2"/>
      <c r="G80" s="2"/>
      <c r="H80" s="2"/>
      <c r="I80" s="2"/>
    </row>
    <row r="81" spans="1:9" ht="15" customHeight="1" x14ac:dyDescent="0.25">
      <c r="A81" s="2"/>
      <c r="B81" s="2"/>
      <c r="C81" s="2"/>
      <c r="D81" s="188"/>
      <c r="E81" s="188"/>
      <c r="F81" s="188"/>
      <c r="G81" s="2"/>
      <c r="H81" s="2"/>
      <c r="I81" s="2"/>
    </row>
    <row r="82" spans="1:9" ht="15" customHeight="1" x14ac:dyDescent="0.25">
      <c r="A82" s="2"/>
      <c r="B82" s="2"/>
      <c r="C82" s="6" t="s">
        <v>219</v>
      </c>
      <c r="D82" s="2"/>
      <c r="E82" s="102">
        <v>4.03</v>
      </c>
      <c r="F82" s="2" t="s">
        <v>293</v>
      </c>
      <c r="G82" s="2"/>
      <c r="H82" s="533" t="s">
        <v>220</v>
      </c>
      <c r="I82" s="2"/>
    </row>
    <row r="83" spans="1:9" ht="15" customHeight="1" x14ac:dyDescent="0.25">
      <c r="A83" s="2"/>
      <c r="B83" s="2"/>
      <c r="C83" s="6" t="s">
        <v>221</v>
      </c>
      <c r="D83" s="2"/>
      <c r="E83" s="102">
        <v>0.15</v>
      </c>
      <c r="F83" s="2" t="s">
        <v>294</v>
      </c>
      <c r="G83" s="2"/>
      <c r="H83" s="533"/>
      <c r="I83" s="2"/>
    </row>
    <row r="84" spans="1:9" ht="15" customHeight="1" x14ac:dyDescent="0.25">
      <c r="A84" s="2"/>
      <c r="B84" s="2"/>
      <c r="C84" s="6"/>
      <c r="D84" s="2"/>
      <c r="E84" s="189"/>
      <c r="F84" s="2"/>
      <c r="G84" s="2"/>
      <c r="H84" s="533"/>
      <c r="I84" s="2"/>
    </row>
    <row r="85" spans="1:9" ht="15" customHeight="1" x14ac:dyDescent="0.25">
      <c r="A85" s="2"/>
      <c r="B85" s="2"/>
      <c r="C85" s="6"/>
      <c r="D85" s="2"/>
      <c r="E85" s="189"/>
      <c r="F85" s="2"/>
      <c r="G85" s="2"/>
      <c r="H85" s="533"/>
      <c r="I85" s="2"/>
    </row>
    <row r="86" spans="1:9" ht="15" customHeight="1" x14ac:dyDescent="0.25">
      <c r="A86" s="2"/>
      <c r="B86" s="2"/>
      <c r="C86" s="6"/>
      <c r="D86" s="2"/>
      <c r="E86" s="189"/>
      <c r="F86" s="2"/>
      <c r="G86" s="2"/>
      <c r="H86" s="159"/>
      <c r="I86" s="2"/>
    </row>
    <row r="87" spans="1:9" ht="15" customHeight="1" x14ac:dyDescent="0.25">
      <c r="A87" s="2"/>
      <c r="B87" s="2"/>
      <c r="C87" s="6"/>
      <c r="D87" s="2"/>
      <c r="E87" s="189"/>
      <c r="F87" s="2"/>
      <c r="G87" s="2"/>
      <c r="H87" s="159"/>
      <c r="I87" s="2"/>
    </row>
    <row r="88" spans="1:9" x14ac:dyDescent="0.25">
      <c r="A88" s="166" t="s">
        <v>325</v>
      </c>
      <c r="B88" s="166"/>
      <c r="C88" s="166"/>
      <c r="D88" s="255"/>
      <c r="E88" s="168"/>
      <c r="F88" s="168"/>
      <c r="G88" s="168"/>
      <c r="H88" s="168"/>
      <c r="I88" s="2"/>
    </row>
    <row r="89" spans="1:9" ht="15" customHeight="1" x14ac:dyDescent="0.25">
      <c r="A89" s="2"/>
      <c r="B89" s="2"/>
      <c r="C89" s="6"/>
      <c r="D89" s="2"/>
      <c r="E89" s="189"/>
      <c r="F89" s="2"/>
      <c r="G89" s="2"/>
      <c r="H89" s="159"/>
      <c r="I89" s="2"/>
    </row>
    <row r="90" spans="1:9" x14ac:dyDescent="0.25">
      <c r="A90" s="2"/>
      <c r="B90" s="2"/>
      <c r="C90" s="6" t="s">
        <v>326</v>
      </c>
      <c r="D90" s="6"/>
      <c r="E90" s="6"/>
      <c r="F90" s="6"/>
      <c r="G90" s="6"/>
      <c r="H90" s="6"/>
      <c r="I90" s="6"/>
    </row>
    <row r="91" spans="1:9" x14ac:dyDescent="0.25">
      <c r="A91" s="2"/>
      <c r="B91" s="2"/>
      <c r="C91" s="505" t="s">
        <v>327</v>
      </c>
      <c r="D91" s="505" t="s">
        <v>2</v>
      </c>
      <c r="E91" s="625" t="s">
        <v>328</v>
      </c>
      <c r="F91" s="626"/>
      <c r="G91" s="627"/>
      <c r="H91" s="2"/>
      <c r="I91" s="2"/>
    </row>
    <row r="92" spans="1:9" ht="15.75" x14ac:dyDescent="0.25">
      <c r="A92" s="2"/>
      <c r="B92" s="2"/>
      <c r="C92" s="506"/>
      <c r="D92" s="506"/>
      <c r="E92" s="26" t="s">
        <v>329</v>
      </c>
      <c r="F92" s="26" t="s">
        <v>330</v>
      </c>
      <c r="G92" s="26" t="s">
        <v>3</v>
      </c>
      <c r="H92" s="2"/>
      <c r="I92" s="2"/>
    </row>
    <row r="93" spans="1:9" ht="15" customHeight="1" x14ac:dyDescent="0.25">
      <c r="A93" s="7"/>
      <c r="B93" s="628" t="s">
        <v>338</v>
      </c>
      <c r="C93" s="8" t="s">
        <v>331</v>
      </c>
      <c r="D93" s="9">
        <v>0.8</v>
      </c>
      <c r="E93" s="10">
        <v>5</v>
      </c>
      <c r="F93" s="11">
        <v>1.1299999999999999</v>
      </c>
      <c r="G93" s="11">
        <v>0.17</v>
      </c>
      <c r="H93" s="2"/>
      <c r="I93" s="2"/>
    </row>
    <row r="94" spans="1:9" ht="15" customHeight="1" x14ac:dyDescent="0.25">
      <c r="A94" s="7"/>
      <c r="B94" s="628"/>
      <c r="C94" s="8" t="s">
        <v>332</v>
      </c>
      <c r="D94" s="9">
        <v>0.8</v>
      </c>
      <c r="E94" s="11">
        <v>4.5999999999999996</v>
      </c>
      <c r="F94" s="12">
        <v>1.1599999999999999</v>
      </c>
      <c r="G94" s="11">
        <v>0.16</v>
      </c>
      <c r="H94" s="2"/>
      <c r="I94" s="2"/>
    </row>
    <row r="95" spans="1:9" x14ac:dyDescent="0.25">
      <c r="A95" s="7"/>
      <c r="B95" s="628"/>
      <c r="C95" s="8" t="s">
        <v>333</v>
      </c>
      <c r="D95" s="9">
        <v>0.8</v>
      </c>
      <c r="E95" s="11">
        <v>4.2</v>
      </c>
      <c r="F95" s="11">
        <v>1.19</v>
      </c>
      <c r="G95" s="11">
        <v>0.14000000000000001</v>
      </c>
      <c r="H95" s="2"/>
      <c r="I95" s="2"/>
    </row>
    <row r="96" spans="1:9" x14ac:dyDescent="0.25">
      <c r="A96" s="7"/>
      <c r="B96" s="628"/>
      <c r="C96" s="8" t="s">
        <v>334</v>
      </c>
      <c r="D96" s="9">
        <v>0.8</v>
      </c>
      <c r="E96" s="11">
        <v>3.6</v>
      </c>
      <c r="F96" s="11">
        <v>1.23</v>
      </c>
      <c r="G96" s="11">
        <v>0.12</v>
      </c>
      <c r="H96" s="2"/>
      <c r="I96" s="2"/>
    </row>
    <row r="97" spans="1:10" x14ac:dyDescent="0.25">
      <c r="A97" s="7"/>
      <c r="B97" s="7"/>
      <c r="C97" s="31"/>
      <c r="D97" s="13"/>
      <c r="E97" s="14"/>
      <c r="F97" s="2"/>
      <c r="G97" s="2"/>
      <c r="H97" s="2"/>
      <c r="I97" s="2"/>
    </row>
    <row r="98" spans="1:10" x14ac:dyDescent="0.25">
      <c r="A98" s="15"/>
      <c r="B98" s="7"/>
      <c r="C98" s="2" t="s">
        <v>335</v>
      </c>
      <c r="D98" s="2"/>
      <c r="E98" s="2"/>
      <c r="F98" s="16" t="s">
        <v>334</v>
      </c>
      <c r="G98" s="108" t="s">
        <v>336</v>
      </c>
      <c r="H98" s="2"/>
      <c r="I98" s="2"/>
    </row>
    <row r="99" spans="1:10" x14ac:dyDescent="0.25">
      <c r="A99" s="2"/>
      <c r="B99" s="7"/>
      <c r="C99" s="2" t="s">
        <v>341</v>
      </c>
      <c r="D99" s="2"/>
      <c r="E99" s="2"/>
      <c r="F99" s="17">
        <v>10</v>
      </c>
      <c r="G99" s="2" t="s">
        <v>337</v>
      </c>
      <c r="H99" s="2"/>
      <c r="I99" s="2"/>
    </row>
    <row r="100" spans="1:10" x14ac:dyDescent="0.25">
      <c r="A100" s="2"/>
      <c r="B100" s="18"/>
      <c r="C100" s="2"/>
      <c r="D100" s="2"/>
      <c r="E100" s="19"/>
      <c r="F100" s="2"/>
      <c r="G100" s="2"/>
      <c r="H100" s="2"/>
      <c r="I100" s="2"/>
    </row>
    <row r="101" spans="1:10" ht="15" customHeight="1" x14ac:dyDescent="0.25">
      <c r="A101" s="2"/>
      <c r="B101" s="522" t="s">
        <v>4</v>
      </c>
      <c r="C101" s="6"/>
      <c r="D101" s="2"/>
      <c r="E101" s="189"/>
      <c r="F101" s="2"/>
      <c r="G101" s="2"/>
      <c r="H101" s="159"/>
      <c r="I101" s="2"/>
    </row>
    <row r="102" spans="1:10" x14ac:dyDescent="0.25">
      <c r="A102" s="2"/>
      <c r="B102" s="522"/>
      <c r="C102" s="2" t="s">
        <v>343</v>
      </c>
      <c r="D102" s="18"/>
      <c r="E102" s="7"/>
      <c r="F102" s="20">
        <v>0.05</v>
      </c>
      <c r="G102" s="13"/>
      <c r="H102" s="2"/>
      <c r="I102" s="21"/>
      <c r="J102" s="300"/>
    </row>
    <row r="103" spans="1:10" ht="15" customHeight="1" x14ac:dyDescent="0.25">
      <c r="A103" s="2"/>
      <c r="B103" s="522"/>
      <c r="C103" s="6"/>
      <c r="D103" s="2"/>
      <c r="E103" s="189"/>
      <c r="F103" s="2"/>
      <c r="G103" s="2"/>
      <c r="H103" s="159"/>
      <c r="I103" s="2"/>
    </row>
    <row r="104" spans="1:10" ht="15" customHeight="1" x14ac:dyDescent="0.25">
      <c r="A104" s="2"/>
      <c r="B104" s="2"/>
      <c r="C104" s="6"/>
      <c r="D104" s="2"/>
      <c r="E104" s="189"/>
      <c r="F104" s="2"/>
      <c r="G104" s="2"/>
      <c r="H104" s="159"/>
      <c r="I104" s="2"/>
    </row>
    <row r="105" spans="1:10" ht="15" customHeight="1" x14ac:dyDescent="0.25">
      <c r="A105" s="2"/>
      <c r="B105" s="2"/>
      <c r="C105" s="6"/>
      <c r="D105" s="2"/>
      <c r="E105" s="189"/>
      <c r="F105" s="2"/>
      <c r="G105" s="2"/>
      <c r="H105" s="159"/>
      <c r="I105" s="2"/>
    </row>
    <row r="106" spans="1:10" ht="15" customHeight="1" x14ac:dyDescent="0.25">
      <c r="A106" s="166" t="s">
        <v>222</v>
      </c>
      <c r="B106" s="190"/>
      <c r="C106" s="190"/>
      <c r="D106" s="2"/>
      <c r="E106" s="32"/>
      <c r="F106" s="2"/>
      <c r="G106" s="2"/>
      <c r="H106" s="2"/>
      <c r="I106" s="2"/>
    </row>
    <row r="107" spans="1:10" x14ac:dyDescent="0.25">
      <c r="A107" s="23"/>
      <c r="B107" s="24" t="s">
        <v>6</v>
      </c>
      <c r="C107" s="161">
        <v>8</v>
      </c>
      <c r="D107" s="25" t="s">
        <v>7</v>
      </c>
      <c r="E107" s="2"/>
      <c r="F107" s="2"/>
      <c r="G107" s="2"/>
      <c r="H107" s="2"/>
      <c r="I107" s="2"/>
    </row>
    <row r="108" spans="1:10" ht="15.75" customHeight="1" x14ac:dyDescent="0.25">
      <c r="A108" s="2"/>
      <c r="B108" s="547" t="s">
        <v>8</v>
      </c>
      <c r="C108" s="547"/>
      <c r="D108" s="547"/>
      <c r="E108" s="547"/>
      <c r="F108" s="547"/>
      <c r="G108" s="547"/>
      <c r="H108" s="2"/>
      <c r="I108" s="2"/>
    </row>
    <row r="109" spans="1:10" ht="17.25" customHeight="1" x14ac:dyDescent="0.25">
      <c r="A109" s="538" t="s">
        <v>9</v>
      </c>
      <c r="B109" s="458" t="s">
        <v>223</v>
      </c>
      <c r="C109" s="459"/>
      <c r="D109" s="448" t="s">
        <v>10</v>
      </c>
      <c r="E109" s="449"/>
      <c r="F109" s="449"/>
      <c r="G109" s="449"/>
      <c r="H109" s="457"/>
      <c r="I109" s="2"/>
    </row>
    <row r="110" spans="1:10" ht="28.5" customHeight="1" x14ac:dyDescent="0.25">
      <c r="A110" s="538"/>
      <c r="B110" s="539"/>
      <c r="C110" s="540"/>
      <c r="D110" s="191" t="s">
        <v>11</v>
      </c>
      <c r="E110" s="191" t="s">
        <v>12</v>
      </c>
      <c r="F110" s="191" t="s">
        <v>13</v>
      </c>
      <c r="G110" s="191" t="s">
        <v>14</v>
      </c>
      <c r="H110" s="160" t="s">
        <v>224</v>
      </c>
      <c r="I110" s="2"/>
    </row>
    <row r="111" spans="1:10" x14ac:dyDescent="0.25">
      <c r="A111" s="549" t="s">
        <v>225</v>
      </c>
      <c r="B111" s="551">
        <v>25</v>
      </c>
      <c r="C111" s="557" t="s">
        <v>295</v>
      </c>
      <c r="D111" s="555">
        <v>0.2</v>
      </c>
      <c r="E111" s="531">
        <v>2</v>
      </c>
      <c r="F111" s="531">
        <v>2</v>
      </c>
      <c r="G111" s="531">
        <v>8</v>
      </c>
      <c r="H111" s="531">
        <v>1</v>
      </c>
      <c r="I111" s="2"/>
    </row>
    <row r="112" spans="1:10" ht="23.25" customHeight="1" x14ac:dyDescent="0.25">
      <c r="A112" s="550"/>
      <c r="B112" s="558"/>
      <c r="C112" s="559"/>
      <c r="D112" s="556"/>
      <c r="E112" s="532"/>
      <c r="F112" s="532"/>
      <c r="G112" s="532"/>
      <c r="H112" s="532"/>
      <c r="I112" s="2"/>
    </row>
    <row r="113" spans="1:9" x14ac:dyDescent="0.25">
      <c r="A113" s="549" t="s">
        <v>226</v>
      </c>
      <c r="B113" s="551">
        <v>14</v>
      </c>
      <c r="C113" s="557" t="s">
        <v>296</v>
      </c>
      <c r="D113" s="555">
        <v>0.1</v>
      </c>
      <c r="E113" s="531">
        <v>1</v>
      </c>
      <c r="F113" s="531">
        <v>1</v>
      </c>
      <c r="G113" s="531">
        <v>0</v>
      </c>
      <c r="H113" s="531">
        <v>0</v>
      </c>
      <c r="I113" s="2"/>
    </row>
    <row r="114" spans="1:9" ht="23.25" customHeight="1" x14ac:dyDescent="0.25">
      <c r="A114" s="550"/>
      <c r="B114" s="552"/>
      <c r="C114" s="554"/>
      <c r="D114" s="556"/>
      <c r="E114" s="532"/>
      <c r="F114" s="532"/>
      <c r="G114" s="532"/>
      <c r="H114" s="532"/>
      <c r="I114" s="2"/>
    </row>
    <row r="115" spans="1:9" x14ac:dyDescent="0.25">
      <c r="A115" s="549" t="s">
        <v>227</v>
      </c>
      <c r="B115" s="551">
        <v>250</v>
      </c>
      <c r="C115" s="553" t="s">
        <v>228</v>
      </c>
      <c r="D115" s="555">
        <v>0.1</v>
      </c>
      <c r="E115" s="531">
        <v>1</v>
      </c>
      <c r="F115" s="531">
        <v>1</v>
      </c>
      <c r="G115" s="531">
        <v>1</v>
      </c>
      <c r="H115" s="531">
        <v>0</v>
      </c>
      <c r="I115" s="2"/>
    </row>
    <row r="116" spans="1:9" ht="20.25" customHeight="1" x14ac:dyDescent="0.25">
      <c r="A116" s="550"/>
      <c r="B116" s="552"/>
      <c r="C116" s="554"/>
      <c r="D116" s="556"/>
      <c r="E116" s="532"/>
      <c r="F116" s="532"/>
      <c r="G116" s="532"/>
      <c r="H116" s="532"/>
      <c r="I116" s="2"/>
    </row>
    <row r="117" spans="1:9" x14ac:dyDescent="0.25">
      <c r="A117" s="549" t="s">
        <v>344</v>
      </c>
      <c r="B117" s="551">
        <v>80</v>
      </c>
      <c r="C117" s="557" t="s">
        <v>296</v>
      </c>
      <c r="D117" s="555">
        <v>0.2</v>
      </c>
      <c r="E117" s="531">
        <v>2</v>
      </c>
      <c r="F117" s="531">
        <v>1</v>
      </c>
      <c r="G117" s="531">
        <v>6</v>
      </c>
      <c r="H117" s="531">
        <v>1</v>
      </c>
      <c r="I117" s="2"/>
    </row>
    <row r="118" spans="1:9" ht="23.25" customHeight="1" x14ac:dyDescent="0.25">
      <c r="A118" s="550"/>
      <c r="B118" s="552"/>
      <c r="C118" s="554"/>
      <c r="D118" s="556"/>
      <c r="E118" s="532"/>
      <c r="F118" s="532"/>
      <c r="G118" s="532"/>
      <c r="H118" s="532"/>
      <c r="I118" s="2"/>
    </row>
    <row r="119" spans="1:9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5">
      <c r="A122" s="166" t="s">
        <v>229</v>
      </c>
      <c r="B122" s="190"/>
      <c r="C122" s="190"/>
      <c r="D122" s="190"/>
      <c r="E122" s="2"/>
      <c r="F122" s="2"/>
      <c r="G122" s="2"/>
      <c r="H122" s="2"/>
      <c r="I122" s="2"/>
    </row>
    <row r="123" spans="1:9" x14ac:dyDescent="0.25">
      <c r="A123" s="22"/>
      <c r="B123" s="2"/>
      <c r="C123" s="2"/>
      <c r="D123" s="2"/>
      <c r="E123" s="2"/>
      <c r="F123" s="2"/>
      <c r="G123" s="2"/>
      <c r="H123" s="2"/>
      <c r="I123" s="2"/>
    </row>
    <row r="124" spans="1:9" x14ac:dyDescent="0.25">
      <c r="A124" s="2"/>
      <c r="B124" s="100" t="s">
        <v>230</v>
      </c>
      <c r="C124" s="101"/>
      <c r="D124" s="101"/>
      <c r="E124" s="2"/>
      <c r="F124" s="2"/>
      <c r="G124" s="2"/>
      <c r="H124" s="2"/>
      <c r="I124" s="2"/>
    </row>
    <row r="125" spans="1:9" x14ac:dyDescent="0.25">
      <c r="A125" s="2"/>
      <c r="B125" s="2"/>
      <c r="C125" s="2"/>
      <c r="D125" s="2"/>
      <c r="E125" s="2"/>
      <c r="F125" s="68"/>
      <c r="G125" s="68"/>
      <c r="H125" s="533" t="s">
        <v>231</v>
      </c>
      <c r="I125" s="2"/>
    </row>
    <row r="126" spans="1:9" ht="15" customHeight="1" x14ac:dyDescent="0.25">
      <c r="A126" s="2"/>
      <c r="B126" s="181">
        <v>0</v>
      </c>
      <c r="C126" s="6" t="s">
        <v>232</v>
      </c>
      <c r="D126" s="2"/>
      <c r="E126" s="2"/>
      <c r="F126" s="17">
        <v>1</v>
      </c>
      <c r="G126" s="2" t="s">
        <v>233</v>
      </c>
      <c r="H126" s="533"/>
      <c r="I126" s="2"/>
    </row>
    <row r="127" spans="1:9" x14ac:dyDescent="0.25">
      <c r="A127" s="2"/>
      <c r="B127" s="181">
        <v>1</v>
      </c>
      <c r="C127" s="6" t="s">
        <v>297</v>
      </c>
      <c r="D127" s="2"/>
      <c r="E127" s="2"/>
      <c r="F127" s="17">
        <v>1</v>
      </c>
      <c r="G127" s="2" t="s">
        <v>18</v>
      </c>
      <c r="H127" s="533"/>
      <c r="I127" s="2"/>
    </row>
    <row r="128" spans="1:9" x14ac:dyDescent="0.25">
      <c r="A128" s="2"/>
      <c r="B128" s="181">
        <v>2</v>
      </c>
      <c r="C128" s="6"/>
      <c r="D128" s="2"/>
      <c r="E128" s="2"/>
      <c r="F128" s="68"/>
      <c r="G128" s="192"/>
      <c r="H128" s="533"/>
      <c r="I128" s="2"/>
    </row>
    <row r="129" spans="1:9" x14ac:dyDescent="0.25">
      <c r="A129" s="2"/>
      <c r="B129" s="100" t="s">
        <v>234</v>
      </c>
      <c r="C129" s="101"/>
      <c r="D129" s="101"/>
      <c r="E129" s="2"/>
      <c r="F129" s="2"/>
      <c r="G129" s="2"/>
      <c r="H129" s="2"/>
      <c r="I129" s="2"/>
    </row>
    <row r="130" spans="1:9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5">
      <c r="A131" s="2"/>
      <c r="B131" s="2"/>
      <c r="C131" s="6" t="s">
        <v>19</v>
      </c>
      <c r="D131" s="2"/>
      <c r="E131" s="20">
        <v>0.03</v>
      </c>
      <c r="F131" s="2" t="s">
        <v>20</v>
      </c>
      <c r="G131" s="529" t="s">
        <v>21</v>
      </c>
      <c r="H131" s="529"/>
      <c r="I131" s="2"/>
    </row>
    <row r="132" spans="1:9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5">
      <c r="A134" s="166" t="s">
        <v>235</v>
      </c>
      <c r="B134" s="190"/>
      <c r="C134" s="190"/>
      <c r="D134" s="566" t="s">
        <v>322</v>
      </c>
      <c r="E134" s="566"/>
      <c r="F134" s="566"/>
      <c r="G134" s="566"/>
      <c r="H134" s="2"/>
      <c r="I134" s="2"/>
    </row>
    <row r="135" spans="1:9" ht="15.75" x14ac:dyDescent="0.25">
      <c r="A135" s="5"/>
      <c r="B135" s="2"/>
      <c r="C135" s="2"/>
      <c r="D135" s="2"/>
      <c r="E135" s="108"/>
      <c r="F135" s="2"/>
      <c r="G135" s="2"/>
      <c r="H135" s="2"/>
      <c r="I135" s="2"/>
    </row>
    <row r="136" spans="1:9" ht="15.75" x14ac:dyDescent="0.25">
      <c r="A136" s="5"/>
      <c r="B136" s="100" t="s">
        <v>143</v>
      </c>
      <c r="C136" s="101"/>
      <c r="D136" s="2"/>
      <c r="E136" s="108" t="s">
        <v>118</v>
      </c>
      <c r="F136" s="2"/>
      <c r="G136" s="2"/>
      <c r="H136" s="2"/>
      <c r="I136" s="2"/>
    </row>
    <row r="137" spans="1:9" x14ac:dyDescent="0.25">
      <c r="A137" s="22"/>
      <c r="B137" s="18"/>
      <c r="C137" s="107"/>
      <c r="D137" s="107"/>
      <c r="E137" s="107"/>
      <c r="F137" s="107"/>
      <c r="G137" s="2"/>
      <c r="H137" s="2"/>
      <c r="I137" s="2"/>
    </row>
    <row r="138" spans="1:9" x14ac:dyDescent="0.25">
      <c r="A138" s="28" t="s">
        <v>119</v>
      </c>
      <c r="B138" s="573" t="s">
        <v>23</v>
      </c>
      <c r="C138" s="574"/>
      <c r="D138" s="138" t="s">
        <v>123</v>
      </c>
      <c r="E138" s="575" t="s">
        <v>116</v>
      </c>
      <c r="F138" s="576"/>
      <c r="G138" s="577" t="s">
        <v>117</v>
      </c>
      <c r="H138" s="578"/>
      <c r="I138" s="2"/>
    </row>
    <row r="139" spans="1:9" x14ac:dyDescent="0.25">
      <c r="A139" s="28" t="s">
        <v>120</v>
      </c>
      <c r="B139" s="447" t="s">
        <v>39</v>
      </c>
      <c r="C139" s="530"/>
      <c r="D139" s="109" t="s">
        <v>121</v>
      </c>
      <c r="E139" s="115" t="s">
        <v>24</v>
      </c>
      <c r="F139" s="30">
        <v>22</v>
      </c>
      <c r="G139" s="115" t="s">
        <v>24</v>
      </c>
      <c r="H139" s="106">
        <f>F139/1.18</f>
        <v>18.64406779661017</v>
      </c>
      <c r="I139" s="2"/>
    </row>
    <row r="140" spans="1:9" ht="15.75" x14ac:dyDescent="0.25">
      <c r="A140" s="28"/>
      <c r="B140" s="447" t="s">
        <v>350</v>
      </c>
      <c r="C140" s="530"/>
      <c r="D140" s="110" t="s">
        <v>122</v>
      </c>
      <c r="E140" s="115" t="s">
        <v>24</v>
      </c>
      <c r="F140" s="30">
        <v>60</v>
      </c>
      <c r="G140" s="115" t="s">
        <v>24</v>
      </c>
      <c r="H140" s="106">
        <f t="shared" ref="H140:H152" si="0">F140/1.18</f>
        <v>50.847457627118644</v>
      </c>
      <c r="I140" s="2"/>
    </row>
    <row r="141" spans="1:9" ht="15.75" x14ac:dyDescent="0.25">
      <c r="A141" s="2"/>
      <c r="B141" s="446" t="s">
        <v>237</v>
      </c>
      <c r="C141" s="446"/>
      <c r="D141" s="193" t="s">
        <v>88</v>
      </c>
      <c r="E141" s="194" t="s">
        <v>24</v>
      </c>
      <c r="F141" s="195">
        <v>65</v>
      </c>
      <c r="G141" s="115" t="s">
        <v>24</v>
      </c>
      <c r="H141" s="106">
        <f t="shared" si="0"/>
        <v>55.084745762711869</v>
      </c>
      <c r="I141" s="2"/>
    </row>
    <row r="142" spans="1:9" ht="15.75" x14ac:dyDescent="0.25">
      <c r="A142" s="2"/>
      <c r="B142" s="446" t="s">
        <v>89</v>
      </c>
      <c r="C142" s="446"/>
      <c r="D142" s="193" t="s">
        <v>88</v>
      </c>
      <c r="E142" s="194" t="s">
        <v>24</v>
      </c>
      <c r="F142" s="195">
        <v>5</v>
      </c>
      <c r="G142" s="115" t="s">
        <v>24</v>
      </c>
      <c r="H142" s="106">
        <f t="shared" si="0"/>
        <v>4.2372881355932206</v>
      </c>
      <c r="I142" s="2"/>
    </row>
    <row r="143" spans="1:9" ht="15.75" x14ac:dyDescent="0.25">
      <c r="A143" s="2"/>
      <c r="B143" s="447" t="s">
        <v>40</v>
      </c>
      <c r="C143" s="530"/>
      <c r="D143" s="193" t="s">
        <v>88</v>
      </c>
      <c r="E143" s="194" t="s">
        <v>24</v>
      </c>
      <c r="F143" s="195">
        <v>55</v>
      </c>
      <c r="G143" s="115" t="s">
        <v>24</v>
      </c>
      <c r="H143" s="106">
        <f t="shared" si="0"/>
        <v>46.610169491525426</v>
      </c>
      <c r="I143" s="2"/>
    </row>
    <row r="144" spans="1:9" x14ac:dyDescent="0.25">
      <c r="A144" s="2"/>
      <c r="B144" s="446" t="str">
        <f>IF(G51="NO","Gasolina de 84 octanos",IF(AND(G51="SI"),"-"))</f>
        <v>Gasolina de 84 octanos</v>
      </c>
      <c r="C144" s="446"/>
      <c r="D144" s="193" t="str">
        <f>IF(G51="NO","galón",IF(AND(G51="SI"),"-"))</f>
        <v>galón</v>
      </c>
      <c r="E144" s="194" t="str">
        <f>IF(G51="NO","S/.",IF(AND(G51="SI"),"No considerar"))</f>
        <v>S/.</v>
      </c>
      <c r="F144" s="195">
        <v>9.59</v>
      </c>
      <c r="G144" s="194" t="str">
        <f>E144</f>
        <v>S/.</v>
      </c>
      <c r="H144" s="106">
        <f t="shared" si="0"/>
        <v>8.1271186440677976</v>
      </c>
      <c r="I144" s="2"/>
    </row>
    <row r="145" spans="1:9" x14ac:dyDescent="0.25">
      <c r="A145" s="2"/>
      <c r="B145" s="453" t="str">
        <f>IF(G52="NO","Grasa multipropósitos",IF(AND(G52="SI"),"-"))</f>
        <v>Grasa multipropósitos</v>
      </c>
      <c r="C145" s="453"/>
      <c r="D145" s="193" t="str">
        <f>IF(G52="NO","kg",IF(AND(G52="SI"),"-"))</f>
        <v>kg</v>
      </c>
      <c r="E145" s="194" t="str">
        <f>IF(G52="NO","S/.",IF(AND(G52="SI"),"No considerar"))</f>
        <v>S/.</v>
      </c>
      <c r="F145" s="195">
        <v>20</v>
      </c>
      <c r="G145" s="194" t="str">
        <f>E145</f>
        <v>S/.</v>
      </c>
      <c r="H145" s="106">
        <f t="shared" si="0"/>
        <v>16.949152542372882</v>
      </c>
      <c r="I145" s="2"/>
    </row>
    <row r="146" spans="1:9" x14ac:dyDescent="0.25">
      <c r="A146" s="2"/>
      <c r="B146" s="196" t="str">
        <f>IF(F70="si","Acero de",IF(AND(F70="no"),"-"))</f>
        <v>-</v>
      </c>
      <c r="C146" s="197" t="str">
        <f>IF(F70="si","3/8""",IF(AND(F70="no"),"-"))</f>
        <v>-</v>
      </c>
      <c r="D146" s="198" t="str">
        <f>IF(F70="si","varilla",IF(AND(F70="no"),"-"))</f>
        <v>-</v>
      </c>
      <c r="E146" s="199" t="str">
        <f>IF(F70="si","S/.",IF(AND(F70="no"),"No considerar"))</f>
        <v>No considerar</v>
      </c>
      <c r="F146" s="195">
        <v>25.23</v>
      </c>
      <c r="G146" s="194" t="str">
        <f t="shared" ref="G146:G149" si="1">E146</f>
        <v>No considerar</v>
      </c>
      <c r="H146" s="106">
        <f t="shared" si="0"/>
        <v>21.381355932203391</v>
      </c>
      <c r="I146" s="2"/>
    </row>
    <row r="147" spans="1:9" x14ac:dyDescent="0.25">
      <c r="A147" s="2"/>
      <c r="B147" s="196" t="str">
        <f>IF(F71="si","Acero de",IF(AND(F71="no"),"-"))</f>
        <v>Acero de</v>
      </c>
      <c r="C147" s="197" t="str">
        <f>IF(F71="si","1/2""",IF(AND(F71="no"),"-"))</f>
        <v>1/2"</v>
      </c>
      <c r="D147" s="198" t="str">
        <f>IF(F71="si","varilla",IF(AND(F71="no"),"-"))</f>
        <v>varilla</v>
      </c>
      <c r="E147" s="199" t="str">
        <f>IF(F71="si","S/.",IF(AND(F71="no"),"No considerar"))</f>
        <v>S/.</v>
      </c>
      <c r="F147" s="195">
        <v>45.2</v>
      </c>
      <c r="G147" s="194" t="str">
        <f t="shared" si="1"/>
        <v>S/.</v>
      </c>
      <c r="H147" s="106">
        <f t="shared" si="0"/>
        <v>38.305084745762713</v>
      </c>
      <c r="I147" s="2"/>
    </row>
    <row r="148" spans="1:9" x14ac:dyDescent="0.25">
      <c r="A148" s="2"/>
      <c r="B148" s="196" t="str">
        <f>IF(F72="si","Acero de",IF(AND(F72="no"),"-"))</f>
        <v>Acero de</v>
      </c>
      <c r="C148" s="197" t="str">
        <f>IF(F72="si","5/8""",IF(AND(F72="no"),"-"))</f>
        <v>5/8"</v>
      </c>
      <c r="D148" s="198" t="str">
        <f>IF(F72="si","varilla",IF(AND(F72="no"),"-"))</f>
        <v>varilla</v>
      </c>
      <c r="E148" s="199" t="str">
        <f>IF(F72="si","S/.",IF(AND(F72="no"),"No considerar"))</f>
        <v>S/.</v>
      </c>
      <c r="F148" s="195">
        <v>69.900000000000006</v>
      </c>
      <c r="G148" s="194" t="str">
        <f t="shared" si="1"/>
        <v>S/.</v>
      </c>
      <c r="H148" s="106">
        <f t="shared" si="0"/>
        <v>59.237288135593225</v>
      </c>
      <c r="I148" s="2"/>
    </row>
    <row r="149" spans="1:9" x14ac:dyDescent="0.25">
      <c r="A149" s="2"/>
      <c r="B149" s="196" t="str">
        <f>IF(F73="si","Acero de",IF(AND(F73="no"),"-"))</f>
        <v>-</v>
      </c>
      <c r="C149" s="197" t="str">
        <f>IF(F73="si","3/4""",IF(AND(F73="no"),"-"))</f>
        <v>-</v>
      </c>
      <c r="D149" s="198" t="str">
        <f>IF(F73="si","varilla",IF(AND(F73="no"),"-"))</f>
        <v>-</v>
      </c>
      <c r="E149" s="199" t="str">
        <f>IF(F73="si","S/.",IF(AND(F73="no"),"No considerar"))</f>
        <v>No considerar</v>
      </c>
      <c r="F149" s="195">
        <v>102.82</v>
      </c>
      <c r="G149" s="194" t="str">
        <f t="shared" si="1"/>
        <v>No considerar</v>
      </c>
      <c r="H149" s="106">
        <f t="shared" si="0"/>
        <v>87.135593220338976</v>
      </c>
      <c r="I149" s="2"/>
    </row>
    <row r="150" spans="1:9" x14ac:dyDescent="0.25">
      <c r="A150" s="2"/>
      <c r="B150" s="446" t="s">
        <v>238</v>
      </c>
      <c r="C150" s="446"/>
      <c r="D150" s="198" t="s">
        <v>169</v>
      </c>
      <c r="E150" s="199" t="s">
        <v>24</v>
      </c>
      <c r="F150" s="195">
        <v>7.54</v>
      </c>
      <c r="G150" s="115" t="s">
        <v>24</v>
      </c>
      <c r="H150" s="106">
        <f t="shared" si="0"/>
        <v>6.389830508474577</v>
      </c>
      <c r="I150" s="2"/>
    </row>
    <row r="151" spans="1:9" ht="15.75" x14ac:dyDescent="0.25">
      <c r="A151" s="2"/>
      <c r="B151" s="579" t="s">
        <v>239</v>
      </c>
      <c r="C151" s="579"/>
      <c r="D151" s="193" t="s">
        <v>298</v>
      </c>
      <c r="E151" s="199" t="s">
        <v>24</v>
      </c>
      <c r="F151" s="195">
        <v>4.5</v>
      </c>
      <c r="G151" s="115" t="s">
        <v>24</v>
      </c>
      <c r="H151" s="106">
        <f t="shared" si="0"/>
        <v>3.8135593220338984</v>
      </c>
      <c r="I151" s="2"/>
    </row>
    <row r="152" spans="1:9" x14ac:dyDescent="0.25">
      <c r="A152" s="2"/>
      <c r="B152" s="446" t="s">
        <v>240</v>
      </c>
      <c r="C152" s="446"/>
      <c r="D152" s="193" t="s">
        <v>169</v>
      </c>
      <c r="E152" s="199" t="s">
        <v>24</v>
      </c>
      <c r="F152" s="195">
        <v>8.1</v>
      </c>
      <c r="G152" s="115" t="s">
        <v>24</v>
      </c>
      <c r="H152" s="106">
        <f t="shared" si="0"/>
        <v>6.8644067796610173</v>
      </c>
      <c r="I152" s="2"/>
    </row>
    <row r="153" spans="1:9" x14ac:dyDescent="0.25">
      <c r="A153" s="28" t="s">
        <v>119</v>
      </c>
      <c r="B153" s="185"/>
      <c r="C153" s="185"/>
      <c r="D153" s="68"/>
      <c r="E153" s="259"/>
      <c r="F153" s="33"/>
      <c r="G153" s="32"/>
      <c r="H153" s="260"/>
      <c r="I153" s="2"/>
    </row>
    <row r="154" spans="1:9" x14ac:dyDescent="0.25">
      <c r="A154" s="2"/>
      <c r="B154" s="100" t="s">
        <v>152</v>
      </c>
      <c r="C154" s="120"/>
      <c r="D154" s="31"/>
      <c r="E154" s="32"/>
      <c r="F154" s="33"/>
      <c r="G154" s="2"/>
      <c r="H154" s="2"/>
      <c r="I154" s="2"/>
    </row>
    <row r="155" spans="1:9" x14ac:dyDescent="0.25">
      <c r="A155" s="28"/>
      <c r="B155" s="185"/>
      <c r="C155" s="185"/>
      <c r="D155" s="68"/>
      <c r="E155" s="259"/>
      <c r="F155" s="33"/>
      <c r="G155" s="32"/>
      <c r="H155" s="260"/>
      <c r="I155" s="2"/>
    </row>
    <row r="156" spans="1:9" x14ac:dyDescent="0.25">
      <c r="A156" s="28" t="s">
        <v>119</v>
      </c>
      <c r="B156" s="573" t="s">
        <v>26</v>
      </c>
      <c r="C156" s="574"/>
      <c r="D156" s="138" t="s">
        <v>123</v>
      </c>
      <c r="E156" s="584" t="s">
        <v>116</v>
      </c>
      <c r="F156" s="584"/>
      <c r="G156" s="577" t="s">
        <v>117</v>
      </c>
      <c r="H156" s="578"/>
      <c r="I156" s="2"/>
    </row>
    <row r="157" spans="1:9" x14ac:dyDescent="0.25">
      <c r="A157" s="28" t="s">
        <v>120</v>
      </c>
      <c r="B157" s="534" t="s">
        <v>264</v>
      </c>
      <c r="C157" s="535"/>
      <c r="D157" s="284" t="s">
        <v>396</v>
      </c>
      <c r="E157" s="115" t="s">
        <v>24</v>
      </c>
      <c r="F157" s="30">
        <v>10</v>
      </c>
      <c r="G157" s="29" t="s">
        <v>24</v>
      </c>
      <c r="H157" s="106">
        <f>F157/1.18</f>
        <v>8.4745762711864412</v>
      </c>
      <c r="I157" s="2"/>
    </row>
    <row r="158" spans="1:9" x14ac:dyDescent="0.25">
      <c r="A158" s="28"/>
      <c r="B158" s="534" t="s">
        <v>54</v>
      </c>
      <c r="C158" s="535"/>
      <c r="D158" s="284" t="s">
        <v>396</v>
      </c>
      <c r="E158" s="115" t="s">
        <v>24</v>
      </c>
      <c r="F158" s="30">
        <v>12</v>
      </c>
      <c r="G158" s="29" t="s">
        <v>24</v>
      </c>
      <c r="H158" s="106">
        <f t="shared" ref="H158" si="2">F158/1.18</f>
        <v>10.16949152542373</v>
      </c>
      <c r="I158" s="2"/>
    </row>
    <row r="159" spans="1:9" x14ac:dyDescent="0.25">
      <c r="A159" s="28"/>
      <c r="B159" s="286" t="s">
        <v>119</v>
      </c>
      <c r="C159" s="185"/>
      <c r="D159" s="68"/>
      <c r="E159" s="259"/>
      <c r="F159" s="33"/>
      <c r="G159" s="32"/>
      <c r="H159" s="260"/>
      <c r="I159" s="2"/>
    </row>
    <row r="160" spans="1:9" x14ac:dyDescent="0.25">
      <c r="A160" s="28" t="s">
        <v>120</v>
      </c>
      <c r="B160" s="287" t="s">
        <v>120</v>
      </c>
      <c r="C160" s="31"/>
      <c r="D160" s="31"/>
      <c r="E160" s="32"/>
      <c r="F160" s="33"/>
      <c r="G160" s="2"/>
      <c r="H160" s="2"/>
      <c r="I160" s="2"/>
    </row>
    <row r="161" spans="1:9" x14ac:dyDescent="0.25">
      <c r="A161" s="164"/>
      <c r="B161" s="455" t="s">
        <v>179</v>
      </c>
      <c r="C161" s="455"/>
      <c r="D161" s="564"/>
      <c r="E161" s="17" t="s">
        <v>120</v>
      </c>
      <c r="F161" s="565" t="s">
        <v>149</v>
      </c>
      <c r="G161" s="565"/>
      <c r="H161" s="2"/>
    </row>
    <row r="162" spans="1:9" x14ac:dyDescent="0.25">
      <c r="A162" s="2"/>
      <c r="B162" s="18"/>
      <c r="C162" s="31"/>
      <c r="D162" s="31"/>
      <c r="E162" s="32"/>
      <c r="F162" s="565"/>
      <c r="G162" s="565"/>
      <c r="H162" s="2"/>
      <c r="I162" s="2"/>
    </row>
    <row r="163" spans="1:9" x14ac:dyDescent="0.25">
      <c r="A163" s="2"/>
      <c r="B163" s="18"/>
      <c r="C163" s="31"/>
      <c r="D163" s="31"/>
      <c r="E163" s="32"/>
      <c r="F163" s="33"/>
      <c r="G163" s="2"/>
      <c r="H163" s="2"/>
      <c r="I163" s="2"/>
    </row>
    <row r="164" spans="1:9" x14ac:dyDescent="0.25">
      <c r="A164" s="2"/>
      <c r="B164" s="18"/>
      <c r="C164" s="31"/>
      <c r="D164" s="31"/>
      <c r="E164" s="32"/>
      <c r="F164" s="33"/>
      <c r="G164" s="2"/>
      <c r="H164" s="2"/>
      <c r="I164" s="2"/>
    </row>
    <row r="165" spans="1:9" x14ac:dyDescent="0.25">
      <c r="A165" s="2"/>
      <c r="B165" s="100" t="s">
        <v>144</v>
      </c>
      <c r="C165" s="120"/>
      <c r="D165" s="31"/>
      <c r="E165" s="32"/>
      <c r="F165" s="33"/>
      <c r="G165" s="2"/>
      <c r="H165" s="2"/>
      <c r="I165" s="2"/>
    </row>
    <row r="166" spans="1:9" x14ac:dyDescent="0.25">
      <c r="A166" s="2"/>
      <c r="B166" s="18"/>
      <c r="C166" s="31"/>
      <c r="D166" s="31"/>
      <c r="E166" s="32"/>
      <c r="F166" s="33"/>
      <c r="G166" s="2"/>
      <c r="H166" s="2"/>
      <c r="I166" s="2"/>
    </row>
    <row r="167" spans="1:9" x14ac:dyDescent="0.25">
      <c r="A167" s="2"/>
      <c r="B167" s="567" t="s">
        <v>124</v>
      </c>
      <c r="C167" s="568"/>
      <c r="D167" s="568"/>
      <c r="E167" s="568"/>
      <c r="F167" s="568"/>
      <c r="G167" s="569"/>
      <c r="H167" s="2"/>
      <c r="I167" s="2"/>
    </row>
    <row r="168" spans="1:9" x14ac:dyDescent="0.25">
      <c r="A168" s="2"/>
      <c r="B168" s="570" t="s">
        <v>125</v>
      </c>
      <c r="C168" s="571"/>
      <c r="D168" s="571"/>
      <c r="E168" s="571"/>
      <c r="F168" s="571"/>
      <c r="G168" s="572"/>
      <c r="H168" s="2"/>
      <c r="I168" s="2"/>
    </row>
    <row r="169" spans="1:9" x14ac:dyDescent="0.25">
      <c r="A169" s="2"/>
      <c r="B169" s="524" t="s">
        <v>126</v>
      </c>
      <c r="C169" s="524"/>
      <c r="D169" s="524"/>
      <c r="E169" s="117" t="s">
        <v>12</v>
      </c>
      <c r="F169" s="118" t="s">
        <v>13</v>
      </c>
      <c r="G169" s="117" t="s">
        <v>14</v>
      </c>
      <c r="H169" s="2"/>
      <c r="I169" s="2"/>
    </row>
    <row r="170" spans="1:9" x14ac:dyDescent="0.25">
      <c r="A170" s="2"/>
      <c r="B170" s="525" t="s">
        <v>127</v>
      </c>
      <c r="C170" s="525"/>
      <c r="D170" s="525"/>
      <c r="E170" s="112">
        <v>74.3</v>
      </c>
      <c r="F170" s="112">
        <v>58.45</v>
      </c>
      <c r="G170" s="112">
        <v>52.5</v>
      </c>
      <c r="H170" s="2"/>
      <c r="I170" s="2"/>
    </row>
    <row r="171" spans="1:9" x14ac:dyDescent="0.25">
      <c r="A171" s="2"/>
      <c r="B171" s="526" t="s">
        <v>128</v>
      </c>
      <c r="C171" s="526"/>
      <c r="D171" s="526"/>
      <c r="E171" s="84"/>
      <c r="F171" s="112"/>
      <c r="G171" s="112"/>
      <c r="H171" s="2"/>
      <c r="I171" s="2"/>
    </row>
    <row r="172" spans="1:9" x14ac:dyDescent="0.25">
      <c r="A172" s="2"/>
      <c r="B172" s="121"/>
      <c r="C172" s="122" t="s">
        <v>12</v>
      </c>
      <c r="D172" s="123">
        <v>0.32</v>
      </c>
      <c r="E172" s="84">
        <f>D172*E170</f>
        <v>23.776</v>
      </c>
      <c r="F172" s="112"/>
      <c r="G172" s="112"/>
      <c r="H172" s="2"/>
      <c r="I172" s="2"/>
    </row>
    <row r="173" spans="1:9" x14ac:dyDescent="0.25">
      <c r="A173" s="2"/>
      <c r="B173" s="124"/>
      <c r="C173" s="125" t="s">
        <v>13</v>
      </c>
      <c r="D173" s="126">
        <v>0.3</v>
      </c>
      <c r="E173" s="84"/>
      <c r="F173" s="112">
        <f>D173*F170</f>
        <v>17.535</v>
      </c>
      <c r="G173" s="112"/>
      <c r="H173" s="2"/>
      <c r="I173" s="2"/>
    </row>
    <row r="174" spans="1:9" x14ac:dyDescent="0.25">
      <c r="A174" s="2"/>
      <c r="B174" s="124"/>
      <c r="C174" s="125" t="s">
        <v>14</v>
      </c>
      <c r="D174" s="126">
        <v>0.3</v>
      </c>
      <c r="E174" s="84"/>
      <c r="F174" s="112"/>
      <c r="G174" s="112">
        <f>D174*G170</f>
        <v>15.75</v>
      </c>
      <c r="H174" s="2"/>
      <c r="I174" s="2"/>
    </row>
    <row r="175" spans="1:9" ht="15" customHeight="1" x14ac:dyDescent="0.25">
      <c r="A175" s="2"/>
      <c r="B175" s="527" t="s">
        <v>129</v>
      </c>
      <c r="C175" s="528"/>
      <c r="D175" s="127">
        <v>1.1345000000000001</v>
      </c>
      <c r="E175" s="84">
        <f>D175*E170</f>
        <v>84.293350000000004</v>
      </c>
      <c r="F175" s="112">
        <f>D175*F170</f>
        <v>66.311525000000003</v>
      </c>
      <c r="G175" s="112">
        <f>D175*G170</f>
        <v>59.561250000000001</v>
      </c>
      <c r="H175" s="2"/>
      <c r="I175" s="2"/>
    </row>
    <row r="176" spans="1:9" ht="15" customHeight="1" x14ac:dyDescent="0.25">
      <c r="A176" s="2"/>
      <c r="B176" s="527" t="s">
        <v>130</v>
      </c>
      <c r="C176" s="528"/>
      <c r="D176" s="128">
        <v>0.12</v>
      </c>
      <c r="E176" s="84">
        <f>D176*E172</f>
        <v>2.8531199999999997</v>
      </c>
      <c r="F176" s="112">
        <f>D176*F173</f>
        <v>2.1042000000000001</v>
      </c>
      <c r="G176" s="112">
        <f>D176*G174</f>
        <v>1.89</v>
      </c>
      <c r="H176" s="2"/>
      <c r="I176" s="2"/>
    </row>
    <row r="177" spans="1:9" x14ac:dyDescent="0.25">
      <c r="A177" s="2"/>
      <c r="B177" s="526" t="s">
        <v>131</v>
      </c>
      <c r="C177" s="526"/>
      <c r="D177" s="526"/>
      <c r="E177" s="84">
        <v>8</v>
      </c>
      <c r="F177" s="112">
        <v>8</v>
      </c>
      <c r="G177" s="112">
        <v>8</v>
      </c>
      <c r="H177" s="2"/>
      <c r="I177" s="2"/>
    </row>
    <row r="178" spans="1:9" x14ac:dyDescent="0.25">
      <c r="A178" s="2"/>
      <c r="B178" s="526" t="s">
        <v>132</v>
      </c>
      <c r="C178" s="526"/>
      <c r="D178" s="526"/>
      <c r="E178" s="84">
        <v>0.4</v>
      </c>
      <c r="F178" s="112">
        <v>0.4</v>
      </c>
      <c r="G178" s="112">
        <v>0.4</v>
      </c>
      <c r="H178" s="2"/>
      <c r="I178" s="2"/>
    </row>
    <row r="179" spans="1:9" x14ac:dyDescent="0.25">
      <c r="A179" s="2"/>
      <c r="B179" s="526" t="s">
        <v>133</v>
      </c>
      <c r="C179" s="526"/>
      <c r="D179" s="526"/>
      <c r="E179" s="84">
        <v>0.17</v>
      </c>
      <c r="F179" s="112">
        <v>0.17</v>
      </c>
      <c r="G179" s="112">
        <v>0.17</v>
      </c>
      <c r="H179" s="2"/>
      <c r="I179" s="2"/>
    </row>
    <row r="180" spans="1:9" x14ac:dyDescent="0.25">
      <c r="A180" s="2"/>
      <c r="B180" s="636" t="s">
        <v>134</v>
      </c>
      <c r="C180" s="636"/>
      <c r="D180" s="636"/>
      <c r="E180" s="119">
        <f>E170+E172+E175+E176+E177+E178+E179</f>
        <v>193.79246999999998</v>
      </c>
      <c r="F180" s="118">
        <f>F170+F173+F175+F176+F177+F178+F179</f>
        <v>152.97072499999999</v>
      </c>
      <c r="G180" s="118">
        <f>G170+G174+G175+G176+G177+G178+G179</f>
        <v>138.27124999999998</v>
      </c>
      <c r="H180" s="2"/>
      <c r="I180" s="2"/>
    </row>
    <row r="181" spans="1:9" x14ac:dyDescent="0.25">
      <c r="A181" s="2"/>
      <c r="B181" s="636" t="s">
        <v>135</v>
      </c>
      <c r="C181" s="636"/>
      <c r="D181" s="636"/>
      <c r="E181" s="119">
        <f>E180/8</f>
        <v>24.224058749999998</v>
      </c>
      <c r="F181" s="118">
        <f>F180/8</f>
        <v>19.121340624999998</v>
      </c>
      <c r="G181" s="118">
        <f>G180/8</f>
        <v>17.283906249999998</v>
      </c>
      <c r="H181" s="2"/>
      <c r="I181" s="2"/>
    </row>
    <row r="182" spans="1:9" x14ac:dyDescent="0.25">
      <c r="A182" s="2"/>
      <c r="B182" s="18"/>
      <c r="C182" s="31"/>
      <c r="D182" s="31"/>
      <c r="E182" s="32"/>
      <c r="F182" s="33"/>
      <c r="G182" s="2"/>
      <c r="H182" s="2"/>
      <c r="I182" s="2"/>
    </row>
    <row r="183" spans="1:9" x14ac:dyDescent="0.25">
      <c r="A183" s="2"/>
      <c r="B183" s="580" t="s">
        <v>136</v>
      </c>
      <c r="C183" s="581"/>
      <c r="D183" s="581"/>
      <c r="E183" s="581"/>
      <c r="F183" s="581"/>
      <c r="G183" s="582"/>
      <c r="H183" s="2"/>
      <c r="I183" s="2"/>
    </row>
    <row r="184" spans="1:9" x14ac:dyDescent="0.25">
      <c r="A184" s="2"/>
      <c r="B184" s="129" t="s">
        <v>137</v>
      </c>
      <c r="C184" s="130"/>
      <c r="D184" s="131"/>
      <c r="E184" s="113">
        <v>1.1000000000000001</v>
      </c>
      <c r="F184" s="114" t="s">
        <v>140</v>
      </c>
      <c r="G184" s="111">
        <f>E184*E181</f>
        <v>26.646464625</v>
      </c>
      <c r="H184" s="2"/>
      <c r="I184" s="2"/>
    </row>
    <row r="185" spans="1:9" x14ac:dyDescent="0.25">
      <c r="A185" s="2"/>
      <c r="B185" s="129" t="s">
        <v>12</v>
      </c>
      <c r="C185" s="130"/>
      <c r="D185" s="131"/>
      <c r="E185" s="113"/>
      <c r="F185" s="114"/>
      <c r="G185" s="111">
        <f>E181</f>
        <v>24.224058749999998</v>
      </c>
      <c r="H185" s="2"/>
      <c r="I185" s="2"/>
    </row>
    <row r="186" spans="1:9" x14ac:dyDescent="0.25">
      <c r="A186" s="2"/>
      <c r="B186" s="129" t="s">
        <v>13</v>
      </c>
      <c r="C186" s="130"/>
      <c r="D186" s="131"/>
      <c r="E186" s="115"/>
      <c r="F186" s="116"/>
      <c r="G186" s="111">
        <f>F181</f>
        <v>19.121340624999998</v>
      </c>
      <c r="H186" s="2"/>
      <c r="I186" s="2"/>
    </row>
    <row r="187" spans="1:9" x14ac:dyDescent="0.25">
      <c r="A187" s="2"/>
      <c r="B187" s="129" t="s">
        <v>14</v>
      </c>
      <c r="C187" s="130"/>
      <c r="D187" s="131"/>
      <c r="E187" s="115"/>
      <c r="F187" s="116"/>
      <c r="G187" s="111">
        <f>G181</f>
        <v>17.283906249999998</v>
      </c>
      <c r="H187" s="2"/>
      <c r="I187" s="2"/>
    </row>
    <row r="188" spans="1:9" ht="15" customHeight="1" x14ac:dyDescent="0.25">
      <c r="A188" s="2"/>
      <c r="B188" s="129" t="s">
        <v>138</v>
      </c>
      <c r="C188" s="130"/>
      <c r="D188" s="131"/>
      <c r="E188" s="113">
        <v>1</v>
      </c>
      <c r="F188" s="114" t="s">
        <v>141</v>
      </c>
      <c r="G188" s="111">
        <f>E188*F181</f>
        <v>19.121340624999998</v>
      </c>
      <c r="H188" s="2"/>
      <c r="I188" s="2"/>
    </row>
    <row r="189" spans="1:9" x14ac:dyDescent="0.25">
      <c r="A189" s="2"/>
      <c r="B189" s="630" t="s">
        <v>25</v>
      </c>
      <c r="C189" s="631"/>
      <c r="D189" s="632"/>
      <c r="E189" s="113">
        <v>1.08</v>
      </c>
      <c r="F189" s="114" t="s">
        <v>140</v>
      </c>
      <c r="G189" s="111">
        <f>E189*E181</f>
        <v>26.161983449999997</v>
      </c>
      <c r="H189" s="2"/>
      <c r="I189" s="2"/>
    </row>
    <row r="190" spans="1:9" x14ac:dyDescent="0.25">
      <c r="A190" s="2"/>
      <c r="B190" s="630" t="s">
        <v>139</v>
      </c>
      <c r="C190" s="631"/>
      <c r="D190" s="632"/>
      <c r="E190" s="113">
        <v>1.1000000000000001</v>
      </c>
      <c r="F190" s="114" t="s">
        <v>140</v>
      </c>
      <c r="G190" s="111">
        <f>E190*E181</f>
        <v>26.646464625</v>
      </c>
      <c r="H190" s="2"/>
      <c r="I190" s="2"/>
    </row>
    <row r="191" spans="1:9" x14ac:dyDescent="0.25">
      <c r="A191" s="2"/>
      <c r="B191" s="633" t="s">
        <v>142</v>
      </c>
      <c r="C191" s="633"/>
      <c r="D191" s="633"/>
      <c r="E191" s="633"/>
      <c r="F191" s="633"/>
      <c r="G191" s="633"/>
      <c r="H191" s="2"/>
      <c r="I191" s="2"/>
    </row>
    <row r="192" spans="1:9" x14ac:dyDescent="0.25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5">
      <c r="A193" s="28" t="s">
        <v>147</v>
      </c>
      <c r="B193" s="132" t="s">
        <v>145</v>
      </c>
      <c r="C193" s="133"/>
      <c r="D193" s="136">
        <v>4600</v>
      </c>
      <c r="E193" s="32" t="s">
        <v>146</v>
      </c>
      <c r="F193" s="134">
        <f>50*D193</f>
        <v>230000</v>
      </c>
      <c r="G193" s="2"/>
      <c r="H193" s="2"/>
      <c r="I193" s="2"/>
    </row>
    <row r="194" spans="1:9" x14ac:dyDescent="0.25">
      <c r="A194" s="28" t="s">
        <v>148</v>
      </c>
      <c r="B194" s="18"/>
      <c r="C194" s="31"/>
      <c r="D194" s="31"/>
      <c r="E194" s="32"/>
      <c r="F194" s="33"/>
      <c r="G194" s="2"/>
      <c r="H194" s="2"/>
      <c r="I194" s="2"/>
    </row>
    <row r="195" spans="1:9" x14ac:dyDescent="0.25">
      <c r="A195" s="28" t="s">
        <v>147</v>
      </c>
      <c r="B195" s="456" t="s">
        <v>351</v>
      </c>
      <c r="C195" s="634"/>
      <c r="D195" s="17" t="s">
        <v>147</v>
      </c>
      <c r="E195" s="635" t="s">
        <v>150</v>
      </c>
      <c r="F195" s="635"/>
      <c r="G195" s="2"/>
      <c r="I195" s="2"/>
    </row>
    <row r="196" spans="1:9" x14ac:dyDescent="0.25">
      <c r="A196" s="28" t="s">
        <v>148</v>
      </c>
      <c r="B196" s="18"/>
      <c r="C196" s="31"/>
      <c r="D196" s="31"/>
      <c r="E196" s="635"/>
      <c r="F196" s="635"/>
      <c r="G196" s="2"/>
      <c r="H196" s="2"/>
      <c r="I196" s="2"/>
    </row>
    <row r="197" spans="1:9" x14ac:dyDescent="0.25">
      <c r="A197" s="2"/>
      <c r="B197" s="18"/>
      <c r="C197" s="31"/>
      <c r="D197" s="31"/>
      <c r="E197" s="32"/>
      <c r="F197" s="33"/>
      <c r="G197" s="2"/>
      <c r="H197" s="2"/>
      <c r="I197" s="2"/>
    </row>
    <row r="198" spans="1:9" x14ac:dyDescent="0.25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5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5">
      <c r="A200" s="2"/>
      <c r="B200" s="18"/>
      <c r="C200" s="31"/>
      <c r="D200" s="31"/>
      <c r="E200" s="32"/>
      <c r="F200" s="33"/>
      <c r="G200" s="2"/>
      <c r="H200" s="2"/>
      <c r="I200" s="2"/>
    </row>
    <row r="201" spans="1:9" x14ac:dyDescent="0.25">
      <c r="A201" s="2"/>
      <c r="B201" s="2"/>
      <c r="C201" s="2"/>
      <c r="D201" s="2"/>
      <c r="E201" s="2"/>
      <c r="F201" s="2"/>
      <c r="G201" s="2"/>
      <c r="H201" s="2"/>
      <c r="I201" s="2"/>
    </row>
    <row r="202" spans="1:9" ht="15" customHeight="1" x14ac:dyDescent="0.25">
      <c r="A202" s="2"/>
      <c r="B202" s="2"/>
      <c r="C202" s="98"/>
      <c r="D202" s="98"/>
      <c r="E202" s="161"/>
      <c r="F202" s="200"/>
      <c r="G202" s="560" t="s">
        <v>28</v>
      </c>
      <c r="H202" s="560"/>
      <c r="I202" s="2"/>
    </row>
    <row r="203" spans="1:9" x14ac:dyDescent="0.25">
      <c r="A203" s="2"/>
      <c r="B203" s="2"/>
      <c r="C203" s="201"/>
      <c r="D203" s="201"/>
      <c r="E203" s="68"/>
      <c r="F203" s="35" t="s">
        <v>180</v>
      </c>
      <c r="G203" s="560"/>
      <c r="H203" s="560"/>
      <c r="I203" s="2"/>
    </row>
    <row r="204" spans="1:9" ht="15" customHeight="1" x14ac:dyDescent="0.25">
      <c r="A204" s="2"/>
      <c r="B204" s="2"/>
      <c r="C204" s="201"/>
      <c r="D204" s="201"/>
      <c r="E204" s="68"/>
      <c r="F204" s="32"/>
      <c r="G204" s="560"/>
      <c r="H204" s="560"/>
      <c r="I204" s="2"/>
    </row>
    <row r="205" spans="1:9" ht="15" customHeight="1" x14ac:dyDescent="0.25">
      <c r="A205" s="2"/>
      <c r="B205" s="2"/>
      <c r="C205" s="201"/>
      <c r="D205" s="201"/>
      <c r="E205" s="68"/>
      <c r="F205" s="32"/>
      <c r="G205" s="202"/>
      <c r="H205" s="202"/>
      <c r="I205" s="2"/>
    </row>
    <row r="206" spans="1:9" x14ac:dyDescent="0.25">
      <c r="A206" s="166" t="s">
        <v>352</v>
      </c>
      <c r="B206" s="190"/>
      <c r="C206" s="190"/>
      <c r="D206" s="190"/>
      <c r="E206" s="261"/>
      <c r="F206" s="190"/>
      <c r="G206" s="203"/>
      <c r="H206" s="203"/>
      <c r="I206" s="2"/>
    </row>
    <row r="207" spans="1:9" x14ac:dyDescent="0.25">
      <c r="A207" s="2"/>
      <c r="B207" s="2"/>
      <c r="C207" s="201"/>
      <c r="D207" s="201"/>
      <c r="E207" s="68"/>
      <c r="F207" s="32"/>
      <c r="G207" s="203"/>
      <c r="H207" s="203"/>
      <c r="I207" s="2"/>
    </row>
    <row r="208" spans="1:9" ht="15.75" x14ac:dyDescent="0.25">
      <c r="A208" s="2"/>
      <c r="B208" s="2"/>
      <c r="C208" s="48" t="s">
        <v>353</v>
      </c>
      <c r="D208" s="204"/>
      <c r="E208" s="204"/>
      <c r="F208" s="205">
        <f>E34</f>
        <v>210</v>
      </c>
      <c r="G208" s="206">
        <v>10</v>
      </c>
      <c r="H208" s="207" t="s">
        <v>76</v>
      </c>
      <c r="I208" s="208"/>
    </row>
    <row r="209" spans="1:10" ht="15.75" customHeight="1" x14ac:dyDescent="0.25">
      <c r="A209" s="2"/>
      <c r="B209" s="7"/>
      <c r="C209" s="48" t="s">
        <v>354</v>
      </c>
      <c r="D209" s="209"/>
      <c r="E209" s="209"/>
      <c r="F209" s="49"/>
      <c r="G209" s="206">
        <v>50</v>
      </c>
      <c r="H209" s="207" t="s">
        <v>300</v>
      </c>
      <c r="I209" s="208"/>
    </row>
    <row r="210" spans="1:10" x14ac:dyDescent="0.25">
      <c r="A210" s="2"/>
      <c r="B210" s="7"/>
      <c r="C210" s="48"/>
      <c r="D210" s="209"/>
      <c r="E210" s="209"/>
      <c r="F210" s="49"/>
      <c r="G210" s="206"/>
      <c r="H210" s="207"/>
      <c r="I210" s="208"/>
    </row>
    <row r="211" spans="1:10" x14ac:dyDescent="0.25">
      <c r="A211" s="2"/>
      <c r="B211" s="583" t="s">
        <v>242</v>
      </c>
      <c r="C211" s="48" t="s">
        <v>355</v>
      </c>
      <c r="D211" s="209"/>
      <c r="E211" s="209"/>
      <c r="F211" s="49"/>
      <c r="G211" s="206"/>
      <c r="H211" s="207"/>
      <c r="I211" s="208"/>
    </row>
    <row r="212" spans="1:10" ht="15" customHeight="1" x14ac:dyDescent="0.25">
      <c r="A212" s="2"/>
      <c r="B212" s="583"/>
      <c r="C212" s="561" t="str">
        <f>IF(F70="si","      ACERO DE",IF(AND(F70="no"),"-"))</f>
        <v>-</v>
      </c>
      <c r="D212" s="562"/>
      <c r="E212" s="210" t="str">
        <f>IF(F70="si","3/8""",IF(AND(F70="no"),"-"))</f>
        <v>-</v>
      </c>
      <c r="F212" s="49"/>
      <c r="G212" s="206">
        <v>0</v>
      </c>
      <c r="H212" s="207" t="str">
        <f>IF(F70="si","kg",IF(AND(F70="no"),"-"))</f>
        <v>-</v>
      </c>
      <c r="I212" s="208"/>
      <c r="J212" s="275"/>
    </row>
    <row r="213" spans="1:10" ht="15" customHeight="1" x14ac:dyDescent="0.25">
      <c r="A213" s="2"/>
      <c r="B213" s="583"/>
      <c r="C213" s="561" t="str">
        <f>IF(F71="si","      ACERO DE",IF(AND(F71="no"),"-"))</f>
        <v xml:space="preserve">      ACERO DE</v>
      </c>
      <c r="D213" s="562"/>
      <c r="E213" s="210" t="str">
        <f>IF(F71="si","1/2""",IF(AND(F71="no"),"-"))</f>
        <v>1/2"</v>
      </c>
      <c r="F213" s="49"/>
      <c r="G213" s="206">
        <v>300</v>
      </c>
      <c r="H213" s="207" t="str">
        <f>IF(F71="si","kg",IF(AND(F71="no"),"-"))</f>
        <v>kg</v>
      </c>
      <c r="I213" s="208"/>
      <c r="J213" s="275"/>
    </row>
    <row r="214" spans="1:10" x14ac:dyDescent="0.25">
      <c r="A214" s="2"/>
      <c r="B214" s="583"/>
      <c r="C214" s="561" t="str">
        <f>IF(F72="si","      ACERO DE",IF(AND(F72="no"),"-"))</f>
        <v xml:space="preserve">      ACERO DE</v>
      </c>
      <c r="D214" s="562"/>
      <c r="E214" s="210" t="str">
        <f>IF(F72="si","5/8""",IF(AND(F72="no"),"-"))</f>
        <v>5/8"</v>
      </c>
      <c r="F214" s="49"/>
      <c r="G214" s="206">
        <v>150</v>
      </c>
      <c r="H214" s="207" t="str">
        <f>IF(F72="si","kg",IF(AND(F72="no"),"-"))</f>
        <v>kg</v>
      </c>
      <c r="I214" s="208"/>
      <c r="J214" s="275"/>
    </row>
    <row r="215" spans="1:10" x14ac:dyDescent="0.25">
      <c r="A215" s="2"/>
      <c r="B215" s="583"/>
      <c r="C215" s="561" t="str">
        <f>IF(F73="si","      ACERO DE",IF(AND(F73="no"),"-"))</f>
        <v>-</v>
      </c>
      <c r="D215" s="562"/>
      <c r="E215" s="210" t="str">
        <f>IF(F73="si","3/4""",IF(AND(F73="no"),"-"))</f>
        <v>-</v>
      </c>
      <c r="F215" s="49"/>
      <c r="G215" s="206">
        <v>0</v>
      </c>
      <c r="H215" s="207" t="str">
        <f>IF(F73="si","kg",IF(AND(F73="no"),"-"))</f>
        <v>-</v>
      </c>
      <c r="I215" s="208"/>
      <c r="J215" s="275"/>
    </row>
    <row r="216" spans="1:10" x14ac:dyDescent="0.25">
      <c r="A216" s="2"/>
      <c r="B216" s="2"/>
      <c r="C216" s="6"/>
      <c r="D216" s="201"/>
      <c r="E216" s="201"/>
      <c r="F216" s="2"/>
      <c r="G216" s="189"/>
      <c r="H216" s="35"/>
      <c r="I216" s="263"/>
      <c r="J216" s="275"/>
    </row>
    <row r="217" spans="1:10" x14ac:dyDescent="0.25">
      <c r="A217" s="2"/>
      <c r="B217" s="2"/>
      <c r="C217" s="6"/>
      <c r="D217" s="201"/>
      <c r="E217" s="201"/>
      <c r="F217" s="2"/>
      <c r="G217" s="189"/>
      <c r="H217" s="35"/>
      <c r="I217" s="263"/>
    </row>
    <row r="218" spans="1:10" ht="15.75" x14ac:dyDescent="0.25">
      <c r="A218" s="2"/>
      <c r="B218" s="2"/>
      <c r="C218" s="48" t="s">
        <v>356</v>
      </c>
      <c r="D218" s="264"/>
      <c r="E218" s="210"/>
      <c r="F218" s="49"/>
      <c r="G218" s="206">
        <v>115</v>
      </c>
      <c r="H218" s="207" t="s">
        <v>300</v>
      </c>
      <c r="I218" s="208"/>
    </row>
    <row r="219" spans="1:10" x14ac:dyDescent="0.25">
      <c r="A219" s="2"/>
      <c r="B219" s="2"/>
      <c r="C219" s="201"/>
      <c r="D219" s="201"/>
      <c r="E219" s="68"/>
      <c r="F219" s="32"/>
      <c r="G219" s="34"/>
      <c r="H219" s="2"/>
      <c r="I219" s="2"/>
      <c r="J219" s="211"/>
    </row>
    <row r="220" spans="1:10" x14ac:dyDescent="0.25">
      <c r="A220" s="2"/>
      <c r="B220" s="2"/>
      <c r="C220" s="201"/>
      <c r="D220" s="201"/>
      <c r="E220" s="68"/>
      <c r="F220" s="32"/>
      <c r="G220" s="34"/>
      <c r="H220" s="2"/>
      <c r="I220" s="2"/>
      <c r="J220" s="211"/>
    </row>
    <row r="221" spans="1:10" x14ac:dyDescent="0.25">
      <c r="A221" s="2"/>
      <c r="B221" s="2"/>
      <c r="C221" s="201"/>
      <c r="D221" s="201"/>
      <c r="E221" s="68"/>
      <c r="F221" s="32"/>
      <c r="G221" s="34"/>
      <c r="H221" s="2"/>
      <c r="I221" s="2"/>
      <c r="J221" s="211"/>
    </row>
    <row r="222" spans="1:10" x14ac:dyDescent="0.25">
      <c r="A222" s="2"/>
      <c r="B222" s="2"/>
      <c r="C222" s="201"/>
      <c r="D222" s="201"/>
      <c r="E222" s="68"/>
      <c r="F222" s="32"/>
      <c r="G222" s="34"/>
      <c r="H222" s="2"/>
      <c r="I222" s="2"/>
      <c r="J222" s="211"/>
    </row>
    <row r="223" spans="1:10" ht="15.75" x14ac:dyDescent="0.25">
      <c r="A223" s="588" t="s">
        <v>30</v>
      </c>
      <c r="B223" s="588"/>
      <c r="C223" s="588"/>
      <c r="D223" s="2"/>
      <c r="E223" s="2"/>
      <c r="F223" s="2"/>
      <c r="G223" s="2"/>
      <c r="H223" s="2"/>
      <c r="I223" s="2"/>
    </row>
    <row r="224" spans="1:10" x14ac:dyDescent="0.25">
      <c r="A224" s="212"/>
      <c r="B224" s="212"/>
      <c r="C224" s="212"/>
      <c r="D224" s="2"/>
      <c r="E224" s="2"/>
      <c r="F224" s="2"/>
      <c r="G224" s="2"/>
      <c r="H224" s="2"/>
      <c r="I224" s="2"/>
    </row>
    <row r="225" spans="1:10" ht="15.75" x14ac:dyDescent="0.25">
      <c r="A225" s="274" t="s">
        <v>439</v>
      </c>
      <c r="B225" s="190"/>
      <c r="C225" s="190"/>
      <c r="D225" s="190"/>
      <c r="E225" s="190"/>
      <c r="F225" s="2"/>
      <c r="G225" s="2"/>
      <c r="H225" s="2"/>
      <c r="I225" s="2"/>
    </row>
    <row r="226" spans="1:10" x14ac:dyDescent="0.25">
      <c r="A226" s="212"/>
      <c r="B226" s="212"/>
      <c r="C226" s="212"/>
      <c r="D226" s="2"/>
      <c r="E226" s="2"/>
      <c r="F226" s="2"/>
      <c r="G226" s="2"/>
      <c r="H226" s="2"/>
      <c r="I226" s="2"/>
    </row>
    <row r="227" spans="1:10" x14ac:dyDescent="0.25">
      <c r="B227" s="166" t="s">
        <v>440</v>
      </c>
      <c r="C227" s="190"/>
      <c r="D227" s="190"/>
      <c r="E227" s="190"/>
      <c r="F227" s="190"/>
      <c r="G227" s="190"/>
      <c r="H227" s="2"/>
      <c r="I227" s="2"/>
      <c r="J227" s="2"/>
    </row>
    <row r="228" spans="1:10" x14ac:dyDescent="0.25">
      <c r="A228" s="22"/>
      <c r="B228" s="2"/>
      <c r="C228" s="2"/>
      <c r="D228" s="2"/>
      <c r="E228" s="2"/>
      <c r="F228" s="2"/>
      <c r="G228" s="2"/>
      <c r="H228" s="2"/>
      <c r="I228" s="2"/>
    </row>
    <row r="229" spans="1:10" x14ac:dyDescent="0.25">
      <c r="A229" s="2"/>
      <c r="B229" s="22" t="s">
        <v>357</v>
      </c>
      <c r="C229" s="2"/>
      <c r="D229" s="2"/>
      <c r="E229" s="2"/>
      <c r="F229" s="2"/>
      <c r="G229" s="2"/>
      <c r="H229" s="2"/>
      <c r="I229" s="2"/>
    </row>
    <row r="230" spans="1:10" x14ac:dyDescent="0.25">
      <c r="A230" s="2"/>
      <c r="B230" s="22"/>
      <c r="C230" s="2"/>
      <c r="D230" s="2"/>
      <c r="E230" s="2"/>
      <c r="F230" s="2"/>
      <c r="G230" s="2"/>
      <c r="H230" s="2"/>
      <c r="I230" s="2"/>
    </row>
    <row r="231" spans="1:10" ht="15.75" x14ac:dyDescent="0.25">
      <c r="A231" s="2"/>
      <c r="B231" s="2"/>
      <c r="C231" s="589" t="s">
        <v>243</v>
      </c>
      <c r="D231" s="590"/>
      <c r="E231" s="213">
        <f>G208</f>
        <v>10</v>
      </c>
      <c r="F231" s="214" t="s">
        <v>32</v>
      </c>
      <c r="G231" s="2"/>
      <c r="H231" s="2"/>
      <c r="I231" s="2"/>
    </row>
    <row r="232" spans="1:10" x14ac:dyDescent="0.25">
      <c r="A232" s="2"/>
      <c r="B232" s="2"/>
      <c r="C232" s="2"/>
      <c r="D232" s="2"/>
      <c r="E232" s="2"/>
      <c r="F232" s="2"/>
      <c r="G232" s="2"/>
      <c r="H232" s="2"/>
      <c r="I232" s="2"/>
    </row>
    <row r="233" spans="1:10" x14ac:dyDescent="0.25">
      <c r="A233" s="2"/>
      <c r="B233" s="537" t="s">
        <v>358</v>
      </c>
      <c r="C233" s="537"/>
      <c r="D233" s="537"/>
      <c r="E233" s="537"/>
      <c r="F233" s="537"/>
      <c r="G233" s="537"/>
      <c r="H233" s="2"/>
      <c r="I233" s="2"/>
    </row>
    <row r="234" spans="1:10" x14ac:dyDescent="0.25">
      <c r="A234" s="2"/>
      <c r="B234" s="215"/>
      <c r="C234" s="563" t="s">
        <v>244</v>
      </c>
      <c r="D234" s="563"/>
      <c r="E234" s="563"/>
      <c r="F234" s="216">
        <f>F43</f>
        <v>0.05</v>
      </c>
      <c r="G234" s="2"/>
      <c r="H234" s="2"/>
      <c r="I234" s="2"/>
    </row>
    <row r="235" spans="1:10" ht="15.75" x14ac:dyDescent="0.25">
      <c r="A235" s="2"/>
      <c r="B235" s="2"/>
      <c r="C235" s="573" t="s">
        <v>245</v>
      </c>
      <c r="D235" s="585"/>
      <c r="E235" s="217">
        <f>E231+E231*F234</f>
        <v>10.5</v>
      </c>
      <c r="F235" s="218" t="s">
        <v>32</v>
      </c>
      <c r="G235" s="2"/>
      <c r="H235" s="2"/>
      <c r="I235" s="2"/>
    </row>
    <row r="236" spans="1:10" x14ac:dyDescent="0.25">
      <c r="A236" s="2"/>
      <c r="B236" s="2"/>
      <c r="C236" s="76"/>
      <c r="D236" s="76"/>
      <c r="E236" s="78"/>
      <c r="F236" s="4"/>
      <c r="G236" s="2"/>
      <c r="H236" s="2"/>
      <c r="I236" s="2"/>
    </row>
    <row r="237" spans="1:10" x14ac:dyDescent="0.25">
      <c r="A237" s="2"/>
      <c r="B237" s="2"/>
      <c r="C237" s="76"/>
      <c r="D237" s="76"/>
      <c r="E237" s="78"/>
      <c r="F237" s="4"/>
      <c r="G237" s="2"/>
      <c r="H237" s="2"/>
      <c r="I237" s="2"/>
    </row>
    <row r="238" spans="1:10" x14ac:dyDescent="0.25">
      <c r="A238" s="2"/>
      <c r="B238" s="22" t="s">
        <v>359</v>
      </c>
      <c r="C238" s="2"/>
      <c r="D238" s="2"/>
      <c r="E238" s="2"/>
      <c r="F238" s="2"/>
      <c r="G238" s="2"/>
      <c r="H238" s="2"/>
      <c r="I238" s="2"/>
    </row>
    <row r="239" spans="1:10" ht="15.75" x14ac:dyDescent="0.25">
      <c r="A239" s="2"/>
      <c r="B239" s="2"/>
      <c r="C239" s="586" t="s">
        <v>301</v>
      </c>
      <c r="D239" s="586"/>
      <c r="E239" s="586"/>
      <c r="F239" s="219">
        <f>F208</f>
        <v>210</v>
      </c>
      <c r="G239" s="220"/>
      <c r="H239" s="2"/>
      <c r="I239" s="2"/>
    </row>
    <row r="240" spans="1:10" ht="15.75" x14ac:dyDescent="0.25">
      <c r="A240" s="2"/>
      <c r="B240" s="2"/>
      <c r="C240" s="43" t="s">
        <v>195</v>
      </c>
      <c r="D240" s="49"/>
      <c r="E240" s="49"/>
      <c r="F240" s="146">
        <f>F37</f>
        <v>9.73</v>
      </c>
      <c r="G240" s="221" t="s">
        <v>302</v>
      </c>
      <c r="H240" s="2"/>
      <c r="I240" s="2"/>
    </row>
    <row r="241" spans="1:10" ht="15.75" x14ac:dyDescent="0.25">
      <c r="A241" s="2"/>
      <c r="B241" s="2"/>
      <c r="C241" s="43" t="s">
        <v>196</v>
      </c>
      <c r="D241" s="49"/>
      <c r="E241" s="49"/>
      <c r="F241" s="146">
        <f>F38</f>
        <v>0.52</v>
      </c>
      <c r="G241" s="221" t="s">
        <v>303</v>
      </c>
      <c r="H241" s="2"/>
      <c r="I241" s="2"/>
    </row>
    <row r="242" spans="1:10" ht="15.75" x14ac:dyDescent="0.25">
      <c r="A242" s="2"/>
      <c r="B242" s="2"/>
      <c r="C242" s="43" t="s">
        <v>197</v>
      </c>
      <c r="D242" s="49"/>
      <c r="E242" s="49"/>
      <c r="F242" s="146">
        <f>F39</f>
        <v>0.53</v>
      </c>
      <c r="G242" s="221" t="s">
        <v>303</v>
      </c>
      <c r="H242" s="2"/>
      <c r="I242" s="2"/>
    </row>
    <row r="243" spans="1:10" ht="15.75" x14ac:dyDescent="0.25">
      <c r="A243" s="2"/>
      <c r="B243" s="2"/>
      <c r="C243" s="43" t="s">
        <v>198</v>
      </c>
      <c r="D243" s="49"/>
      <c r="E243" s="49"/>
      <c r="F243" s="145">
        <f>F40</f>
        <v>0.186</v>
      </c>
      <c r="G243" s="221" t="s">
        <v>303</v>
      </c>
      <c r="H243" s="2"/>
      <c r="I243" s="2"/>
    </row>
    <row r="244" spans="1:10" x14ac:dyDescent="0.25">
      <c r="A244" s="2"/>
      <c r="B244" s="2"/>
      <c r="C244" s="2"/>
      <c r="D244" s="2"/>
      <c r="E244" s="2"/>
      <c r="F244" s="2"/>
      <c r="G244" s="2"/>
      <c r="H244" s="2"/>
      <c r="I244" s="2"/>
    </row>
    <row r="245" spans="1:10" x14ac:dyDescent="0.25">
      <c r="A245" s="2"/>
      <c r="B245" s="2"/>
      <c r="C245" s="2"/>
      <c r="D245" s="2"/>
      <c r="E245" s="2"/>
      <c r="F245" s="2"/>
      <c r="G245" s="2"/>
      <c r="H245" s="2"/>
      <c r="I245" s="2"/>
    </row>
    <row r="246" spans="1:10" x14ac:dyDescent="0.25">
      <c r="A246" s="2"/>
      <c r="B246" s="537" t="s">
        <v>360</v>
      </c>
      <c r="C246" s="537"/>
      <c r="D246" s="537"/>
      <c r="E246" s="537"/>
      <c r="F246" s="537"/>
      <c r="G246" s="537"/>
      <c r="H246" s="537"/>
      <c r="I246" s="2"/>
      <c r="J246" s="54"/>
    </row>
    <row r="247" spans="1:10" x14ac:dyDescent="0.25">
      <c r="A247" s="2"/>
      <c r="B247" s="2"/>
      <c r="C247" s="2"/>
      <c r="D247" s="25" t="s">
        <v>244</v>
      </c>
      <c r="E247" s="2"/>
      <c r="F247" s="2"/>
      <c r="G247" s="216">
        <v>0.05</v>
      </c>
      <c r="H247" s="2"/>
      <c r="I247" s="2"/>
    </row>
    <row r="248" spans="1:10" x14ac:dyDescent="0.25">
      <c r="A248" s="2"/>
      <c r="B248" s="2"/>
      <c r="C248" s="222" t="s">
        <v>195</v>
      </c>
      <c r="D248" s="223"/>
      <c r="E248" s="223"/>
      <c r="F248" s="217">
        <f>(F240*E231)+(F240*E231)*G247</f>
        <v>102.16500000000001</v>
      </c>
      <c r="G248" s="218" t="s">
        <v>35</v>
      </c>
      <c r="H248" s="2"/>
      <c r="I248" s="179"/>
      <c r="J248" s="152"/>
    </row>
    <row r="249" spans="1:10" ht="15.75" x14ac:dyDescent="0.25">
      <c r="A249" s="2"/>
      <c r="B249" s="2"/>
      <c r="C249" s="222" t="s">
        <v>196</v>
      </c>
      <c r="D249" s="223"/>
      <c r="E249" s="223"/>
      <c r="F249" s="217">
        <f>(F241*E231)+(F241*E231)*G247</f>
        <v>5.46</v>
      </c>
      <c r="G249" s="218" t="s">
        <v>32</v>
      </c>
      <c r="H249" s="2"/>
      <c r="I249" s="179"/>
      <c r="J249" s="152"/>
    </row>
    <row r="250" spans="1:10" ht="15.75" x14ac:dyDescent="0.25">
      <c r="A250" s="2"/>
      <c r="B250" s="2"/>
      <c r="C250" s="222" t="s">
        <v>197</v>
      </c>
      <c r="D250" s="223"/>
      <c r="E250" s="223"/>
      <c r="F250" s="217">
        <f>(F242*E231)+(F242*E231)*G247</f>
        <v>5.5650000000000004</v>
      </c>
      <c r="G250" s="218" t="s">
        <v>32</v>
      </c>
      <c r="H250" s="2"/>
      <c r="I250" s="179"/>
      <c r="J250" s="152"/>
    </row>
    <row r="251" spans="1:10" ht="15.75" x14ac:dyDescent="0.25">
      <c r="A251" s="2"/>
      <c r="B251" s="2"/>
      <c r="C251" s="222" t="s">
        <v>198</v>
      </c>
      <c r="D251" s="223"/>
      <c r="E251" s="223"/>
      <c r="F251" s="224">
        <f>(F243*E231)+(F243*E231)*G247</f>
        <v>1.9529999999999998</v>
      </c>
      <c r="G251" s="218" t="s">
        <v>32</v>
      </c>
      <c r="H251" s="2"/>
      <c r="I251" s="180"/>
    </row>
    <row r="252" spans="1:10" x14ac:dyDescent="0.25">
      <c r="A252" s="2"/>
      <c r="B252" s="2"/>
      <c r="C252" s="2"/>
      <c r="D252" s="2"/>
      <c r="E252" s="2"/>
      <c r="F252" s="2"/>
      <c r="G252" s="2"/>
      <c r="H252" s="2"/>
      <c r="I252" s="2"/>
    </row>
    <row r="253" spans="1:10" x14ac:dyDescent="0.25">
      <c r="A253" s="2"/>
      <c r="B253" s="2"/>
      <c r="C253" s="2"/>
      <c r="D253" s="2"/>
      <c r="E253" s="2"/>
      <c r="F253" s="2"/>
      <c r="G253" s="2"/>
      <c r="H253" s="2"/>
      <c r="I253" s="2"/>
    </row>
    <row r="254" spans="1:10" x14ac:dyDescent="0.25">
      <c r="A254" s="2"/>
      <c r="B254" s="2"/>
      <c r="C254" s="2"/>
      <c r="D254" s="2"/>
      <c r="E254" s="2"/>
      <c r="F254" s="2"/>
      <c r="G254" s="2"/>
      <c r="H254" s="2"/>
      <c r="I254" s="2"/>
    </row>
    <row r="255" spans="1:10" x14ac:dyDescent="0.25">
      <c r="B255" s="166" t="s">
        <v>441</v>
      </c>
      <c r="C255" s="190"/>
      <c r="D255" s="190"/>
      <c r="E255" s="190"/>
      <c r="F255" s="190"/>
      <c r="G255" s="2"/>
      <c r="H255" s="2"/>
      <c r="I255" s="2"/>
      <c r="J255" s="2"/>
    </row>
    <row r="256" spans="1:10" x14ac:dyDescent="0.25">
      <c r="A256" s="22"/>
      <c r="B256" s="2"/>
      <c r="C256" s="2"/>
      <c r="D256" s="2"/>
      <c r="E256" s="2"/>
      <c r="F256" s="2"/>
      <c r="G256" s="2"/>
      <c r="H256" s="2"/>
      <c r="I256" s="2"/>
    </row>
    <row r="257" spans="1:10" ht="15.75" x14ac:dyDescent="0.25">
      <c r="A257" s="2"/>
      <c r="B257" s="2"/>
      <c r="C257" s="587" t="s">
        <v>375</v>
      </c>
      <c r="D257" s="587"/>
      <c r="E257" s="587"/>
      <c r="F257" s="587"/>
      <c r="G257" s="587"/>
      <c r="H257" s="2"/>
      <c r="I257" s="2"/>
    </row>
    <row r="258" spans="1:10" ht="15.75" x14ac:dyDescent="0.25">
      <c r="A258" s="2"/>
      <c r="B258" s="2"/>
      <c r="C258" s="43" t="s">
        <v>246</v>
      </c>
      <c r="D258" s="49"/>
      <c r="E258" s="49"/>
      <c r="F258" s="146">
        <f>E82</f>
        <v>4.03</v>
      </c>
      <c r="G258" s="50" t="s">
        <v>304</v>
      </c>
      <c r="H258" s="2"/>
      <c r="I258" s="2"/>
    </row>
    <row r="259" spans="1:10" ht="15.75" x14ac:dyDescent="0.25">
      <c r="A259" s="2"/>
      <c r="B259" s="2"/>
      <c r="C259" s="43" t="s">
        <v>247</v>
      </c>
      <c r="D259" s="49"/>
      <c r="E259" s="49"/>
      <c r="F259" s="146">
        <f>E83</f>
        <v>0.15</v>
      </c>
      <c r="G259" s="50" t="s">
        <v>305</v>
      </c>
      <c r="H259" s="2"/>
      <c r="I259" s="2"/>
    </row>
    <row r="260" spans="1:10" x14ac:dyDescent="0.25">
      <c r="A260" s="2"/>
      <c r="B260" s="2"/>
      <c r="C260" s="6"/>
      <c r="D260" s="2"/>
      <c r="E260" s="2"/>
      <c r="F260" s="2"/>
      <c r="G260" s="2"/>
      <c r="H260" s="2"/>
      <c r="I260" s="2"/>
    </row>
    <row r="261" spans="1:10" x14ac:dyDescent="0.25">
      <c r="A261" s="2"/>
      <c r="B261" s="537" t="s">
        <v>248</v>
      </c>
      <c r="C261" s="537"/>
      <c r="D261" s="537"/>
      <c r="E261" s="537"/>
      <c r="F261" s="537"/>
      <c r="G261" s="537"/>
      <c r="H261" s="537"/>
      <c r="I261" s="2"/>
    </row>
    <row r="262" spans="1:10" x14ac:dyDescent="0.25">
      <c r="A262" s="2"/>
      <c r="B262" s="2"/>
      <c r="C262" s="215"/>
      <c r="D262" s="563" t="s">
        <v>249</v>
      </c>
      <c r="E262" s="563"/>
      <c r="F262" s="225">
        <v>0.05</v>
      </c>
      <c r="G262" s="215"/>
      <c r="H262" s="2"/>
      <c r="I262" s="2"/>
    </row>
    <row r="263" spans="1:10" ht="15.75" x14ac:dyDescent="0.25">
      <c r="A263" s="2"/>
      <c r="B263" s="2"/>
      <c r="C263" s="222" t="s">
        <v>246</v>
      </c>
      <c r="D263" s="223"/>
      <c r="E263" s="223"/>
      <c r="F263" s="217">
        <f>(F258*G209)+(F258*G209)*F262</f>
        <v>211.57499999999999</v>
      </c>
      <c r="G263" s="218" t="s">
        <v>306</v>
      </c>
      <c r="H263" s="2"/>
      <c r="I263" s="179"/>
    </row>
    <row r="264" spans="1:10" x14ac:dyDescent="0.25">
      <c r="A264" s="2"/>
      <c r="B264" s="2"/>
      <c r="C264" s="222" t="s">
        <v>247</v>
      </c>
      <c r="D264" s="223"/>
      <c r="E264" s="223"/>
      <c r="F264" s="217">
        <f>(F259*G209)+(F259*G209)*F262</f>
        <v>7.875</v>
      </c>
      <c r="G264" s="218" t="s">
        <v>169</v>
      </c>
      <c r="H264" s="2"/>
      <c r="I264" s="179"/>
    </row>
    <row r="265" spans="1:10" x14ac:dyDescent="0.25">
      <c r="A265" s="2"/>
      <c r="B265" s="2"/>
      <c r="C265" s="6"/>
      <c r="D265" s="2"/>
      <c r="E265" s="2"/>
      <c r="F265" s="2"/>
      <c r="G265" s="2"/>
      <c r="H265" s="2"/>
      <c r="I265" s="2"/>
    </row>
    <row r="266" spans="1:10" x14ac:dyDescent="0.25">
      <c r="A266" s="2"/>
      <c r="B266" s="2"/>
      <c r="C266" s="6"/>
      <c r="D266" s="2"/>
      <c r="E266" s="2"/>
      <c r="F266" s="2"/>
      <c r="G266" s="2"/>
      <c r="H266" s="2"/>
      <c r="I266" s="2"/>
    </row>
    <row r="267" spans="1:10" x14ac:dyDescent="0.25">
      <c r="A267" s="2"/>
      <c r="B267" s="2"/>
      <c r="C267" s="6"/>
      <c r="D267" s="2"/>
      <c r="E267" s="2"/>
      <c r="F267" s="2"/>
      <c r="G267" s="2"/>
      <c r="H267" s="2"/>
      <c r="I267" s="2"/>
    </row>
    <row r="268" spans="1:10" x14ac:dyDescent="0.25">
      <c r="B268" s="166" t="s">
        <v>442</v>
      </c>
      <c r="C268" s="190"/>
      <c r="D268" s="190"/>
      <c r="E268" s="190"/>
      <c r="F268" s="190"/>
      <c r="G268" s="2"/>
      <c r="H268" s="32"/>
      <c r="I268" s="35"/>
      <c r="J268" s="299"/>
    </row>
    <row r="269" spans="1:10" x14ac:dyDescent="0.25">
      <c r="A269" s="22"/>
      <c r="B269" s="2"/>
      <c r="C269" s="2"/>
      <c r="D269" s="2"/>
      <c r="E269" s="2"/>
      <c r="F269" s="2"/>
      <c r="G269" s="32"/>
      <c r="H269" s="35"/>
      <c r="I269" s="226"/>
    </row>
    <row r="270" spans="1:10" x14ac:dyDescent="0.25">
      <c r="A270" s="22"/>
      <c r="B270" s="2"/>
      <c r="C270" s="587" t="s">
        <v>307</v>
      </c>
      <c r="D270" s="587"/>
      <c r="E270" s="587"/>
      <c r="F270" s="587"/>
      <c r="G270" s="587"/>
      <c r="H270" s="35"/>
      <c r="I270" s="226"/>
    </row>
    <row r="271" spans="1:10" x14ac:dyDescent="0.25">
      <c r="A271" s="22"/>
      <c r="B271" s="2"/>
      <c r="C271" s="43" t="s">
        <v>250</v>
      </c>
      <c r="D271" s="227"/>
      <c r="E271" s="228"/>
      <c r="F271" s="145">
        <f>1+(((F281*F282*F275)/(F281*F282*F275+F281*F283*F276+F281*F284*F277+F281*F285*F278))*F290+((F281*F283*F276)/(F281*F282*F275+F281*F283*F276+F281*F284*F277+F281*F285*F278))*F291+((F281*F284*F277)/(F281*F282*F275+F281*F283*F276+F281*F284*F277+F281*F285*F278))*F292+((F281*F285*F278)/(F281*F282*F275+F281*F283*F276+F281*F284*F277+F281*F285*F278))*F293)</f>
        <v>1.0566666666666666</v>
      </c>
      <c r="G271" s="207" t="s">
        <v>169</v>
      </c>
      <c r="H271" s="35"/>
      <c r="I271" s="226"/>
    </row>
    <row r="272" spans="1:10" x14ac:dyDescent="0.25">
      <c r="A272" s="22"/>
      <c r="B272" s="2"/>
      <c r="C272" s="593" t="s">
        <v>238</v>
      </c>
      <c r="D272" s="594"/>
      <c r="E272" s="228"/>
      <c r="F272" s="229">
        <f>F76</f>
        <v>0.05</v>
      </c>
      <c r="G272" s="207" t="s">
        <v>169</v>
      </c>
      <c r="H272" s="35"/>
      <c r="I272" s="226"/>
    </row>
    <row r="273" spans="1:9" x14ac:dyDescent="0.25">
      <c r="A273" s="22"/>
      <c r="B273" s="2"/>
      <c r="C273" s="2"/>
      <c r="D273" s="2"/>
      <c r="E273" s="2"/>
      <c r="F273" s="2"/>
      <c r="G273" s="32"/>
      <c r="H273" s="35"/>
      <c r="I273" s="226"/>
    </row>
    <row r="274" spans="1:9" x14ac:dyDescent="0.25">
      <c r="A274" s="2"/>
      <c r="B274" s="6"/>
      <c r="C274" s="595" t="s">
        <v>251</v>
      </c>
      <c r="D274" s="587"/>
      <c r="E274" s="587"/>
      <c r="F274" s="587"/>
      <c r="G274" s="587"/>
      <c r="H274" s="2"/>
      <c r="I274" s="2"/>
    </row>
    <row r="275" spans="1:9" x14ac:dyDescent="0.25">
      <c r="A275" s="2"/>
      <c r="B275" s="2"/>
      <c r="C275" s="591" t="s">
        <v>252</v>
      </c>
      <c r="D275" s="592"/>
      <c r="E275" s="228"/>
      <c r="F275" s="229">
        <f>IF(E212=C61,H61,IF(AND(E212="-"),0))</f>
        <v>0</v>
      </c>
      <c r="G275" s="50" t="str">
        <f>IF(F70="si","kg/m",IF(AND(F70="no"),"-"))</f>
        <v>-</v>
      </c>
      <c r="H275" s="2"/>
      <c r="I275" s="2"/>
    </row>
    <row r="276" spans="1:9" x14ac:dyDescent="0.25">
      <c r="A276" s="2"/>
      <c r="B276" s="2"/>
      <c r="C276" s="591" t="s">
        <v>253</v>
      </c>
      <c r="D276" s="592"/>
      <c r="E276" s="228"/>
      <c r="F276" s="229">
        <f>IF(E213=C62,H62,IF(AND(E213="-"),0))</f>
        <v>0.99399999999999999</v>
      </c>
      <c r="G276" s="50" t="str">
        <f>IF(F71="si","kg/m",IF(AND(F71="no"),"-"))</f>
        <v>kg/m</v>
      </c>
      <c r="H276" s="2"/>
      <c r="I276" s="2"/>
    </row>
    <row r="277" spans="1:9" x14ac:dyDescent="0.25">
      <c r="A277" s="2"/>
      <c r="B277" s="2"/>
      <c r="C277" s="591" t="s">
        <v>254</v>
      </c>
      <c r="D277" s="592"/>
      <c r="E277" s="228"/>
      <c r="F277" s="229">
        <f>IF(E214=C63,H63,IF(AND(E214="-"),0))</f>
        <v>1.552</v>
      </c>
      <c r="G277" s="50" t="str">
        <f>IF(F72="si","kg/m",IF(AND(F72="no"),"-"))</f>
        <v>kg/m</v>
      </c>
      <c r="H277" s="2"/>
      <c r="I277" s="2"/>
    </row>
    <row r="278" spans="1:9" x14ac:dyDescent="0.25">
      <c r="A278" s="2"/>
      <c r="B278" s="2"/>
      <c r="C278" s="591" t="s">
        <v>255</v>
      </c>
      <c r="D278" s="592"/>
      <c r="E278" s="228"/>
      <c r="F278" s="229">
        <f>IF(E215=C64,H64,IF(AND(E215="-"),0))</f>
        <v>0</v>
      </c>
      <c r="G278" s="50" t="str">
        <f>IF(F73="si","kg/m",IF(AND(F73="no"),"-"))</f>
        <v>-</v>
      </c>
      <c r="H278" s="2"/>
      <c r="I278" s="2"/>
    </row>
    <row r="279" spans="1:9" x14ac:dyDescent="0.25">
      <c r="A279" s="2"/>
      <c r="B279" s="2"/>
      <c r="C279" s="68"/>
      <c r="D279" s="2"/>
      <c r="E279" s="2"/>
      <c r="F279" s="2"/>
      <c r="G279" s="2"/>
      <c r="H279" s="2"/>
      <c r="I279" s="2"/>
    </row>
    <row r="280" spans="1:9" x14ac:dyDescent="0.25">
      <c r="A280" s="2"/>
      <c r="B280" s="22" t="s">
        <v>376</v>
      </c>
      <c r="C280" s="6"/>
      <c r="D280" s="6"/>
      <c r="E280" s="6"/>
      <c r="F280" s="6"/>
      <c r="G280" s="6"/>
      <c r="H280" s="6"/>
      <c r="I280" s="2"/>
    </row>
    <row r="281" spans="1:9" x14ac:dyDescent="0.25">
      <c r="A281" s="2"/>
      <c r="B281" s="2"/>
      <c r="C281" s="2"/>
      <c r="D281" s="25"/>
      <c r="E281" s="24" t="s">
        <v>256</v>
      </c>
      <c r="F281" s="68">
        <v>9</v>
      </c>
      <c r="G281" s="2" t="s">
        <v>257</v>
      </c>
      <c r="H281" s="2"/>
      <c r="I281" s="2"/>
    </row>
    <row r="282" spans="1:9" x14ac:dyDescent="0.25">
      <c r="A282" s="2"/>
      <c r="B282" s="2"/>
      <c r="C282" s="591" t="s">
        <v>252</v>
      </c>
      <c r="D282" s="592"/>
      <c r="E282" s="231"/>
      <c r="F282" s="232">
        <f>IF(E212=C61,((G212/F275)/9),IF(AND(E212="-"),0))</f>
        <v>0</v>
      </c>
      <c r="G282" s="233" t="str">
        <f>IF(F70="si","varillas",IF(AND(F70="no"),"-"))</f>
        <v>-</v>
      </c>
      <c r="H282" s="57"/>
      <c r="I282" s="179"/>
    </row>
    <row r="283" spans="1:9" x14ac:dyDescent="0.25">
      <c r="A283" s="2"/>
      <c r="B283" s="2"/>
      <c r="C283" s="591" t="s">
        <v>253</v>
      </c>
      <c r="D283" s="592"/>
      <c r="E283" s="228"/>
      <c r="F283" s="232">
        <f>IF(E213=C62,((G213/F276)/9),IF(AND(E213="-"),0))</f>
        <v>33.5345405767941</v>
      </c>
      <c r="G283" s="50" t="str">
        <f>IF(F71="si","varillas",IF(AND(F71="no"),"-"))</f>
        <v>varillas</v>
      </c>
      <c r="H283" s="57"/>
      <c r="I283" s="179"/>
    </row>
    <row r="284" spans="1:9" x14ac:dyDescent="0.25">
      <c r="A284" s="2"/>
      <c r="B284" s="2"/>
      <c r="C284" s="591" t="s">
        <v>254</v>
      </c>
      <c r="D284" s="592"/>
      <c r="E284" s="228"/>
      <c r="F284" s="232">
        <f>IF(E214=C63,((G214/F277)/9),IF(AND(E214="-"),0))</f>
        <v>10.738831615120274</v>
      </c>
      <c r="G284" s="50" t="str">
        <f>IF(F72="si","varillas",IF(AND(F72="no"),"-"))</f>
        <v>varillas</v>
      </c>
      <c r="H284" s="57"/>
      <c r="I284" s="179"/>
    </row>
    <row r="285" spans="1:9" x14ac:dyDescent="0.25">
      <c r="A285" s="2"/>
      <c r="B285" s="2"/>
      <c r="C285" s="591" t="s">
        <v>255</v>
      </c>
      <c r="D285" s="592"/>
      <c r="E285" s="228"/>
      <c r="F285" s="146">
        <f>IF(E215=C64,((G215/F278)/9),IF(AND(E215="-"),0))</f>
        <v>0</v>
      </c>
      <c r="G285" s="50" t="str">
        <f>IF(F73="si","varillas",IF(AND(F73="no"),"-"))</f>
        <v>-</v>
      </c>
      <c r="H285" s="57"/>
      <c r="I285" s="179"/>
    </row>
    <row r="286" spans="1:9" x14ac:dyDescent="0.25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5">
      <c r="A287" s="2"/>
      <c r="B287" s="22" t="s">
        <v>377</v>
      </c>
      <c r="C287" s="6"/>
      <c r="D287" s="6"/>
      <c r="E287" s="6"/>
      <c r="F287" s="6"/>
      <c r="G287" s="6"/>
      <c r="H287" s="6"/>
      <c r="I287" s="2"/>
    </row>
    <row r="288" spans="1:9" x14ac:dyDescent="0.25">
      <c r="A288" s="2"/>
      <c r="B288" s="22"/>
      <c r="C288" s="6"/>
      <c r="D288" s="6"/>
      <c r="E288" s="6"/>
      <c r="F288" s="6"/>
      <c r="G288" s="6"/>
      <c r="H288" s="6"/>
      <c r="I288" s="2"/>
    </row>
    <row r="289" spans="1:10" x14ac:dyDescent="0.25">
      <c r="A289" s="2"/>
      <c r="B289" s="537" t="s">
        <v>378</v>
      </c>
      <c r="C289" s="537"/>
      <c r="D289" s="537"/>
      <c r="E289" s="537"/>
      <c r="F289" s="537"/>
      <c r="G289" s="537"/>
      <c r="H289" s="537"/>
      <c r="I289" s="2"/>
    </row>
    <row r="290" spans="1:10" x14ac:dyDescent="0.25">
      <c r="A290" s="2"/>
      <c r="B290" s="2"/>
      <c r="C290" s="2"/>
      <c r="D290" s="25" t="s">
        <v>258</v>
      </c>
      <c r="E290" s="215"/>
      <c r="F290" s="225">
        <v>0.03</v>
      </c>
      <c r="G290" s="2"/>
      <c r="H290" s="2"/>
      <c r="I290" s="2"/>
    </row>
    <row r="291" spans="1:10" x14ac:dyDescent="0.25">
      <c r="A291" s="2"/>
      <c r="B291" s="2"/>
      <c r="C291" s="2"/>
      <c r="D291" s="25" t="s">
        <v>259</v>
      </c>
      <c r="E291" s="215"/>
      <c r="F291" s="225">
        <v>0.05</v>
      </c>
      <c r="G291" s="2"/>
      <c r="H291" s="2"/>
      <c r="I291" s="2"/>
    </row>
    <row r="292" spans="1:10" x14ac:dyDescent="0.25">
      <c r="A292" s="2"/>
      <c r="B292" s="2"/>
      <c r="C292" s="2"/>
      <c r="D292" s="25" t="s">
        <v>260</v>
      </c>
      <c r="E292" s="215"/>
      <c r="F292" s="225">
        <v>7.0000000000000007E-2</v>
      </c>
      <c r="G292" s="2"/>
      <c r="H292" s="2"/>
      <c r="I292" s="2"/>
    </row>
    <row r="293" spans="1:10" x14ac:dyDescent="0.25">
      <c r="A293" s="2"/>
      <c r="B293" s="2"/>
      <c r="C293" s="2"/>
      <c r="D293" s="25" t="s">
        <v>261</v>
      </c>
      <c r="E293" s="215"/>
      <c r="F293" s="225">
        <v>0.08</v>
      </c>
      <c r="G293" s="2"/>
      <c r="H293" s="2"/>
      <c r="I293" s="2"/>
    </row>
    <row r="294" spans="1:10" x14ac:dyDescent="0.25">
      <c r="A294" s="2"/>
      <c r="B294" s="2"/>
      <c r="C294" s="597" t="s">
        <v>252</v>
      </c>
      <c r="D294" s="598"/>
      <c r="E294" s="223"/>
      <c r="F294" s="217">
        <f>F282+F282*F290</f>
        <v>0</v>
      </c>
      <c r="G294" s="218" t="str">
        <f>G282</f>
        <v>-</v>
      </c>
      <c r="H294" s="2"/>
      <c r="I294" s="57"/>
    </row>
    <row r="295" spans="1:10" x14ac:dyDescent="0.25">
      <c r="A295" s="2"/>
      <c r="B295" s="2"/>
      <c r="C295" s="597" t="s">
        <v>253</v>
      </c>
      <c r="D295" s="598"/>
      <c r="E295" s="223"/>
      <c r="F295" s="217">
        <f>F283+F283*F291</f>
        <v>35.211267605633807</v>
      </c>
      <c r="G295" s="218" t="str">
        <f>G283</f>
        <v>varillas</v>
      </c>
      <c r="H295" s="2"/>
      <c r="I295" s="57"/>
    </row>
    <row r="296" spans="1:10" x14ac:dyDescent="0.25">
      <c r="A296" s="2"/>
      <c r="B296" s="2"/>
      <c r="C296" s="597" t="s">
        <v>254</v>
      </c>
      <c r="D296" s="598"/>
      <c r="E296" s="223"/>
      <c r="F296" s="217">
        <f>F284+F284*F292</f>
        <v>11.490549828178693</v>
      </c>
      <c r="G296" s="218" t="str">
        <f>G284</f>
        <v>varillas</v>
      </c>
      <c r="H296" s="2"/>
      <c r="I296" s="57"/>
      <c r="J296" s="54"/>
    </row>
    <row r="297" spans="1:10" x14ac:dyDescent="0.25">
      <c r="A297" s="2"/>
      <c r="B297" s="2"/>
      <c r="C297" s="597" t="s">
        <v>255</v>
      </c>
      <c r="D297" s="598"/>
      <c r="E297" s="223"/>
      <c r="F297" s="217">
        <f>F285+F285*F293</f>
        <v>0</v>
      </c>
      <c r="G297" s="218" t="str">
        <f>G285</f>
        <v>-</v>
      </c>
      <c r="H297" s="2"/>
      <c r="I297" s="57"/>
    </row>
    <row r="298" spans="1:10" x14ac:dyDescent="0.25">
      <c r="A298" s="2"/>
      <c r="B298" s="2"/>
      <c r="C298" s="597" t="s">
        <v>262</v>
      </c>
      <c r="D298" s="598"/>
      <c r="E298" s="223"/>
      <c r="F298" s="217">
        <f>(F76*(F281*F282*F275+F281*F283*F276+F281*F284*F277+F281*F285*F278))*1.05</f>
        <v>23.625</v>
      </c>
      <c r="G298" s="218" t="s">
        <v>169</v>
      </c>
      <c r="H298" s="2"/>
      <c r="I298" s="57"/>
    </row>
    <row r="299" spans="1:10" x14ac:dyDescent="0.25">
      <c r="A299" s="2"/>
      <c r="B299" s="2"/>
      <c r="C299" s="2"/>
      <c r="D299" s="2"/>
      <c r="E299" s="2"/>
      <c r="F299" s="2"/>
      <c r="G299" s="2"/>
      <c r="H299" s="2"/>
      <c r="I299" s="2"/>
    </row>
    <row r="300" spans="1:10" x14ac:dyDescent="0.25">
      <c r="A300" s="2"/>
      <c r="B300" s="2"/>
      <c r="C300" s="2"/>
      <c r="D300" s="2"/>
      <c r="E300" s="2"/>
      <c r="F300" s="2"/>
      <c r="G300" s="2"/>
      <c r="H300" s="2"/>
      <c r="I300" s="2"/>
    </row>
    <row r="301" spans="1:10" x14ac:dyDescent="0.25">
      <c r="A301" s="2"/>
      <c r="B301" s="2"/>
      <c r="C301" s="2"/>
      <c r="D301" s="2"/>
      <c r="E301" s="2"/>
      <c r="F301" s="2"/>
      <c r="G301" s="2"/>
      <c r="H301" s="2"/>
      <c r="I301" s="2"/>
    </row>
    <row r="302" spans="1:10" ht="15.75" x14ac:dyDescent="0.25">
      <c r="A302" s="274" t="s">
        <v>443</v>
      </c>
      <c r="B302" s="190"/>
      <c r="C302" s="190"/>
      <c r="D302" s="190"/>
      <c r="E302" s="190"/>
      <c r="F302" s="2"/>
      <c r="G302" s="2"/>
      <c r="H302" s="2"/>
      <c r="I302" s="2"/>
    </row>
    <row r="303" spans="1:10" ht="15.75" x14ac:dyDescent="0.25">
      <c r="A303" s="5"/>
      <c r="B303" s="2"/>
      <c r="C303" s="2"/>
      <c r="D303" s="2"/>
      <c r="E303" s="2"/>
      <c r="F303" s="2"/>
      <c r="G303" s="2"/>
      <c r="H303" s="2"/>
      <c r="I303" s="2"/>
    </row>
    <row r="304" spans="1:10" ht="15.75" x14ac:dyDescent="0.25">
      <c r="A304" s="2"/>
      <c r="B304" s="22" t="s">
        <v>374</v>
      </c>
      <c r="C304" s="2"/>
      <c r="D304" s="2"/>
      <c r="E304" s="2"/>
      <c r="F304" s="2"/>
      <c r="G304" s="2"/>
      <c r="H304" s="2"/>
      <c r="I304" s="2"/>
    </row>
    <row r="305" spans="1:9" x14ac:dyDescent="0.25">
      <c r="A305" s="2"/>
      <c r="B305" s="2"/>
      <c r="C305" s="6"/>
      <c r="D305" s="599" t="s">
        <v>362</v>
      </c>
      <c r="E305" s="599"/>
      <c r="F305" s="175">
        <f>F99</f>
        <v>10</v>
      </c>
      <c r="G305" s="25" t="s">
        <v>337</v>
      </c>
      <c r="H305" s="2"/>
      <c r="I305" s="2"/>
    </row>
    <row r="306" spans="1:9" ht="15.75" x14ac:dyDescent="0.25">
      <c r="A306" s="2"/>
      <c r="B306" s="2"/>
      <c r="C306" s="600" t="s">
        <v>379</v>
      </c>
      <c r="D306" s="601"/>
      <c r="E306" s="601"/>
      <c r="F306" s="265">
        <f>(1*1*(F305/100))</f>
        <v>0.1</v>
      </c>
      <c r="G306" s="214" t="s">
        <v>361</v>
      </c>
      <c r="H306" s="2"/>
      <c r="I306" s="2"/>
    </row>
    <row r="307" spans="1:9" x14ac:dyDescent="0.25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5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5">
      <c r="A309" s="2"/>
      <c r="B309" s="2"/>
      <c r="C309" s="6" t="s">
        <v>373</v>
      </c>
      <c r="D309" s="2"/>
      <c r="E309" s="2"/>
      <c r="F309" s="2"/>
      <c r="G309" s="2"/>
      <c r="H309" s="2"/>
      <c r="I309" s="2"/>
    </row>
    <row r="310" spans="1:9" x14ac:dyDescent="0.25">
      <c r="A310" s="2"/>
      <c r="B310" s="2"/>
      <c r="C310" s="2"/>
      <c r="D310" s="24"/>
      <c r="E310" s="24" t="s">
        <v>31</v>
      </c>
      <c r="F310" s="39">
        <f>F102</f>
        <v>0.05</v>
      </c>
      <c r="G310" s="2"/>
      <c r="H310" s="2"/>
      <c r="I310" s="2"/>
    </row>
    <row r="311" spans="1:9" ht="15.75" x14ac:dyDescent="0.25">
      <c r="A311" s="2"/>
      <c r="B311" s="2"/>
      <c r="C311" s="602" t="s">
        <v>363</v>
      </c>
      <c r="D311" s="603"/>
      <c r="E311" s="603"/>
      <c r="F311" s="217">
        <f>(F306*G218)+(F310*(F306*G218))</f>
        <v>12.074999999999999</v>
      </c>
      <c r="G311" s="218" t="s">
        <v>32</v>
      </c>
      <c r="H311" s="2"/>
      <c r="I311" s="2"/>
    </row>
    <row r="312" spans="1:9" x14ac:dyDescent="0.25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5">
      <c r="A313" s="2"/>
      <c r="B313" s="2"/>
      <c r="C313" s="2"/>
      <c r="D313" s="2"/>
      <c r="E313" s="2"/>
      <c r="F313" s="2"/>
      <c r="G313" s="2"/>
      <c r="H313" s="2"/>
      <c r="I313" s="2"/>
    </row>
    <row r="314" spans="1:9" ht="15.75" x14ac:dyDescent="0.25">
      <c r="A314" s="2"/>
      <c r="B314" s="5" t="s">
        <v>367</v>
      </c>
      <c r="C314" s="2"/>
      <c r="D314" s="2"/>
      <c r="E314" s="2"/>
      <c r="F314" s="2"/>
      <c r="G314" s="2"/>
      <c r="H314" s="2"/>
      <c r="I314" s="2"/>
    </row>
    <row r="315" spans="1:9" x14ac:dyDescent="0.25">
      <c r="A315" s="2"/>
      <c r="B315" s="2"/>
      <c r="C315" s="6"/>
      <c r="D315" s="42"/>
      <c r="E315" s="42"/>
      <c r="F315" s="2"/>
      <c r="G315" s="2"/>
      <c r="H315" s="2"/>
      <c r="I315" s="2"/>
    </row>
    <row r="316" spans="1:9" x14ac:dyDescent="0.25">
      <c r="A316" s="2"/>
      <c r="B316" s="2"/>
      <c r="C316" s="25" t="s">
        <v>33</v>
      </c>
      <c r="D316" s="2"/>
      <c r="E316" s="2"/>
      <c r="F316" s="2"/>
      <c r="G316" s="2"/>
      <c r="H316" s="2"/>
      <c r="I316" s="2"/>
    </row>
    <row r="317" spans="1:9" ht="15.75" x14ac:dyDescent="0.25">
      <c r="A317" s="2"/>
      <c r="B317" s="2"/>
      <c r="C317" s="2"/>
      <c r="D317" s="2"/>
      <c r="E317" s="2"/>
      <c r="F317" s="587" t="s">
        <v>380</v>
      </c>
      <c r="G317" s="587"/>
      <c r="H317" s="587"/>
      <c r="I317" s="2"/>
    </row>
    <row r="318" spans="1:9" x14ac:dyDescent="0.25">
      <c r="A318" s="2"/>
      <c r="B318" s="2"/>
      <c r="C318" s="2"/>
      <c r="D318" s="2"/>
      <c r="E318" s="2"/>
      <c r="F318" s="43" t="s">
        <v>34</v>
      </c>
      <c r="G318" s="44">
        <f>IF(E319=C93,E93,IF(AND(E319=C94),E94,IF(AND(E319=C95),E95,IF(AND(E319=C96),E96))))</f>
        <v>3.6</v>
      </c>
      <c r="H318" s="45" t="s">
        <v>35</v>
      </c>
      <c r="I318" s="2"/>
    </row>
    <row r="319" spans="1:9" ht="15.75" x14ac:dyDescent="0.25">
      <c r="A319" s="2"/>
      <c r="B319" s="272"/>
      <c r="C319" s="605" t="s">
        <v>372</v>
      </c>
      <c r="D319" s="605"/>
      <c r="E319" s="144" t="str">
        <f>F98</f>
        <v>1:12</v>
      </c>
      <c r="F319" s="43" t="s">
        <v>36</v>
      </c>
      <c r="G319" s="46">
        <f>IF(E319=C93,F93,IF(AND(E319=C94),F94,IF(AND(E319=C95),F95,IF(AND(E319=C96),F96))))</f>
        <v>1.23</v>
      </c>
      <c r="H319" s="45" t="s">
        <v>37</v>
      </c>
      <c r="I319" s="2"/>
    </row>
    <row r="320" spans="1:9" ht="15.75" x14ac:dyDescent="0.25">
      <c r="A320" s="2"/>
      <c r="B320" s="2"/>
      <c r="C320" s="2"/>
      <c r="D320" s="2"/>
      <c r="E320" s="2"/>
      <c r="F320" s="43" t="s">
        <v>38</v>
      </c>
      <c r="G320" s="230">
        <f>IF(E319=C93,G93,IF(AND(E319=C94),G94,IF(AND(E319=C95),G95,IF(AND(E319=C96),G96))))</f>
        <v>0.12</v>
      </c>
      <c r="H320" s="45" t="s">
        <v>37</v>
      </c>
      <c r="I320" s="2"/>
    </row>
    <row r="321" spans="1:9" x14ac:dyDescent="0.25">
      <c r="A321" s="2"/>
      <c r="B321" s="2"/>
      <c r="C321" s="2"/>
      <c r="D321" s="2"/>
      <c r="E321" s="2"/>
      <c r="F321" s="2"/>
      <c r="G321" s="2"/>
      <c r="H321" s="2"/>
      <c r="I321" s="2"/>
    </row>
    <row r="322" spans="1:9" ht="15.75" x14ac:dyDescent="0.25">
      <c r="A322" s="2"/>
      <c r="B322" s="2"/>
      <c r="C322" s="604" t="s">
        <v>368</v>
      </c>
      <c r="D322" s="604"/>
      <c r="E322" s="604"/>
      <c r="F322" s="176">
        <f>F306</f>
        <v>0.1</v>
      </c>
      <c r="G322" s="25" t="s">
        <v>364</v>
      </c>
      <c r="H322" s="2"/>
      <c r="I322" s="2"/>
    </row>
    <row r="323" spans="1:9" x14ac:dyDescent="0.25">
      <c r="A323" s="2"/>
      <c r="B323" s="2"/>
      <c r="C323" s="2"/>
      <c r="D323" s="2"/>
      <c r="E323" s="2"/>
      <c r="F323" s="2"/>
      <c r="G323" s="2"/>
      <c r="H323" s="2"/>
      <c r="I323" s="2"/>
    </row>
    <row r="324" spans="1:9" ht="15.75" x14ac:dyDescent="0.25">
      <c r="A324" s="2"/>
      <c r="B324" s="2"/>
      <c r="C324" s="47" t="s">
        <v>369</v>
      </c>
      <c r="D324" s="2"/>
      <c r="E324" s="2"/>
      <c r="F324" s="2"/>
      <c r="G324" s="2"/>
      <c r="H324" s="2"/>
      <c r="I324" s="2"/>
    </row>
    <row r="325" spans="1:9" x14ac:dyDescent="0.25">
      <c r="A325" s="2"/>
      <c r="B325" s="2"/>
      <c r="C325" s="2"/>
      <c r="D325" s="2"/>
      <c r="E325" s="2"/>
      <c r="F325" s="2"/>
      <c r="G325" s="2"/>
      <c r="H325" s="2"/>
      <c r="I325" s="2"/>
    </row>
    <row r="326" spans="1:9" ht="15.75" x14ac:dyDescent="0.25">
      <c r="A326" s="2"/>
      <c r="B326" s="2"/>
      <c r="C326" s="2"/>
      <c r="D326" s="48" t="s">
        <v>39</v>
      </c>
      <c r="E326" s="49"/>
      <c r="F326" s="266">
        <f>G318*F322</f>
        <v>0.36000000000000004</v>
      </c>
      <c r="G326" s="50" t="s">
        <v>365</v>
      </c>
      <c r="H326" s="2"/>
      <c r="I326" s="2"/>
    </row>
    <row r="327" spans="1:9" ht="15.75" x14ac:dyDescent="0.25">
      <c r="A327" s="2"/>
      <c r="B327" s="2"/>
      <c r="C327" s="2"/>
      <c r="D327" s="48" t="s">
        <v>40</v>
      </c>
      <c r="E327" s="49"/>
      <c r="F327" s="266">
        <f>G319*F322</f>
        <v>0.123</v>
      </c>
      <c r="G327" s="50" t="s">
        <v>366</v>
      </c>
      <c r="H327" s="2"/>
      <c r="I327" s="2"/>
    </row>
    <row r="328" spans="1:9" ht="15.75" x14ac:dyDescent="0.25">
      <c r="A328" s="2"/>
      <c r="B328" s="2"/>
      <c r="C328" s="2"/>
      <c r="D328" s="48" t="s">
        <v>41</v>
      </c>
      <c r="E328" s="49"/>
      <c r="F328" s="266">
        <f>G320*F322</f>
        <v>1.2E-2</v>
      </c>
      <c r="G328" s="50" t="s">
        <v>366</v>
      </c>
      <c r="H328" s="2"/>
      <c r="I328" s="2"/>
    </row>
    <row r="329" spans="1:9" x14ac:dyDescent="0.25">
      <c r="A329" s="2"/>
      <c r="B329" s="2"/>
      <c r="C329" s="2"/>
      <c r="D329" s="2"/>
      <c r="E329" s="2"/>
      <c r="F329" s="2"/>
      <c r="G329" s="2"/>
      <c r="H329" s="2"/>
      <c r="I329" s="2"/>
    </row>
    <row r="330" spans="1:9" ht="15.75" x14ac:dyDescent="0.25">
      <c r="A330" s="2"/>
      <c r="B330" s="2"/>
      <c r="C330" s="47" t="s">
        <v>370</v>
      </c>
      <c r="D330" s="2"/>
      <c r="E330" s="2"/>
      <c r="F330" s="2"/>
      <c r="G330" s="2"/>
      <c r="H330" s="2"/>
      <c r="I330" s="2"/>
    </row>
    <row r="331" spans="1:9" x14ac:dyDescent="0.25">
      <c r="A331" s="2"/>
      <c r="B331" s="2"/>
      <c r="C331" s="2"/>
      <c r="D331" s="24"/>
      <c r="E331" s="24" t="s">
        <v>31</v>
      </c>
      <c r="F331" s="39">
        <f>F102</f>
        <v>0.05</v>
      </c>
      <c r="G331" s="2"/>
      <c r="H331" s="2"/>
      <c r="I331" s="2"/>
    </row>
    <row r="332" spans="1:9" ht="15.75" x14ac:dyDescent="0.25">
      <c r="A332" s="2"/>
      <c r="B332" s="2"/>
      <c r="C332" s="2"/>
      <c r="D332" s="268" t="s">
        <v>39</v>
      </c>
      <c r="E332" s="269"/>
      <c r="F332" s="270">
        <f>F326+F326*F331</f>
        <v>0.37800000000000006</v>
      </c>
      <c r="G332" s="271" t="s">
        <v>365</v>
      </c>
      <c r="H332" s="2"/>
      <c r="I332" s="2"/>
    </row>
    <row r="333" spans="1:9" ht="15.75" x14ac:dyDescent="0.25">
      <c r="A333" s="2"/>
      <c r="B333" s="2"/>
      <c r="C333" s="2"/>
      <c r="D333" s="268" t="s">
        <v>40</v>
      </c>
      <c r="E333" s="269"/>
      <c r="F333" s="270">
        <f>F327+F327*F331</f>
        <v>0.12914999999999999</v>
      </c>
      <c r="G333" s="271" t="s">
        <v>366</v>
      </c>
      <c r="H333" s="2"/>
      <c r="I333" s="2"/>
    </row>
    <row r="334" spans="1:9" ht="15.75" x14ac:dyDescent="0.25">
      <c r="A334" s="2"/>
      <c r="B334" s="2"/>
      <c r="C334" s="2"/>
      <c r="D334" s="268" t="s">
        <v>41</v>
      </c>
      <c r="E334" s="269"/>
      <c r="F334" s="270">
        <f>F328+F328*F331</f>
        <v>1.26E-2</v>
      </c>
      <c r="G334" s="271" t="s">
        <v>366</v>
      </c>
      <c r="H334" s="2"/>
      <c r="I334" s="2"/>
    </row>
    <row r="335" spans="1:9" x14ac:dyDescent="0.25">
      <c r="A335" s="2"/>
      <c r="B335" s="2"/>
      <c r="C335" s="2"/>
      <c r="D335" s="2"/>
      <c r="E335" s="2"/>
      <c r="F335" s="2"/>
      <c r="G335" s="2"/>
      <c r="H335" s="2"/>
      <c r="I335" s="2"/>
    </row>
    <row r="336" spans="1:9" x14ac:dyDescent="0.25">
      <c r="A336" s="2"/>
      <c r="B336" s="2"/>
      <c r="C336" s="2"/>
      <c r="D336" s="2"/>
      <c r="E336" s="2"/>
      <c r="F336" s="2"/>
      <c r="G336" s="2"/>
      <c r="H336" s="2"/>
      <c r="I336" s="2"/>
    </row>
    <row r="337" spans="1:11" x14ac:dyDescent="0.25">
      <c r="A337" s="2"/>
      <c r="B337" s="2"/>
      <c r="C337" s="2"/>
      <c r="D337" s="2"/>
      <c r="E337" s="2"/>
      <c r="F337" s="2"/>
      <c r="G337" s="2"/>
      <c r="H337" s="2"/>
      <c r="I337" s="2"/>
      <c r="K337" s="54"/>
    </row>
    <row r="338" spans="1:11" x14ac:dyDescent="0.25">
      <c r="A338" s="2"/>
      <c r="C338" s="6" t="s">
        <v>371</v>
      </c>
      <c r="D338" s="6"/>
      <c r="E338" s="6"/>
      <c r="F338" s="6"/>
      <c r="G338" s="6"/>
      <c r="H338" s="6"/>
      <c r="I338" s="6"/>
      <c r="J338" s="297"/>
    </row>
    <row r="339" spans="1:11" x14ac:dyDescent="0.25">
      <c r="A339" s="2"/>
      <c r="B339" s="2"/>
      <c r="C339" s="2"/>
      <c r="D339" s="2"/>
      <c r="E339" s="2"/>
      <c r="F339" s="2"/>
      <c r="G339" s="2"/>
      <c r="H339" s="2"/>
      <c r="I339" s="2"/>
    </row>
    <row r="340" spans="1:11" x14ac:dyDescent="0.25">
      <c r="A340" s="2"/>
      <c r="B340" s="2"/>
      <c r="C340" s="2"/>
      <c r="D340" s="222" t="s">
        <v>39</v>
      </c>
      <c r="E340" s="267"/>
      <c r="F340" s="217">
        <f>F332*G218</f>
        <v>43.470000000000006</v>
      </c>
      <c r="G340" s="218" t="s">
        <v>35</v>
      </c>
      <c r="H340" s="57"/>
      <c r="I340" s="2"/>
      <c r="J340" s="54"/>
    </row>
    <row r="341" spans="1:11" ht="15.75" x14ac:dyDescent="0.25">
      <c r="A341" s="2"/>
      <c r="B341" s="2"/>
      <c r="C341" s="2"/>
      <c r="D341" s="222" t="s">
        <v>40</v>
      </c>
      <c r="E341" s="267"/>
      <c r="F341" s="217">
        <f>F333*G218</f>
        <v>14.852249999999998</v>
      </c>
      <c r="G341" s="218" t="s">
        <v>42</v>
      </c>
      <c r="H341" s="57"/>
      <c r="I341" s="2"/>
      <c r="J341" s="54"/>
    </row>
    <row r="342" spans="1:11" ht="15.75" x14ac:dyDescent="0.25">
      <c r="A342" s="2"/>
      <c r="B342" s="2"/>
      <c r="C342" s="2"/>
      <c r="D342" s="222" t="s">
        <v>41</v>
      </c>
      <c r="E342" s="267"/>
      <c r="F342" s="224">
        <f>F334*G218</f>
        <v>1.4490000000000001</v>
      </c>
      <c r="G342" s="218" t="s">
        <v>42</v>
      </c>
      <c r="H342" s="60"/>
      <c r="I342" s="2"/>
      <c r="J342" s="298"/>
    </row>
    <row r="343" spans="1:11" x14ac:dyDescent="0.25">
      <c r="A343" s="2"/>
      <c r="B343" s="2"/>
      <c r="C343" s="2"/>
      <c r="D343" s="2"/>
      <c r="E343" s="2"/>
      <c r="F343" s="2"/>
      <c r="G343" s="2"/>
      <c r="H343" s="2"/>
      <c r="I343" s="2"/>
    </row>
    <row r="344" spans="1:11" x14ac:dyDescent="0.25">
      <c r="A344" s="2"/>
      <c r="B344" s="2"/>
      <c r="C344" s="2"/>
      <c r="D344" s="2"/>
      <c r="E344" s="2"/>
      <c r="F344" s="2"/>
      <c r="G344" s="2"/>
      <c r="H344" s="2"/>
      <c r="I344" s="2"/>
    </row>
    <row r="345" spans="1:11" x14ac:dyDescent="0.25">
      <c r="A345" s="2"/>
      <c r="B345" s="2"/>
      <c r="C345" s="2"/>
      <c r="D345" s="2"/>
      <c r="E345" s="2"/>
      <c r="F345" s="2"/>
      <c r="G345" s="2"/>
      <c r="H345" s="2"/>
      <c r="I345" s="2"/>
    </row>
    <row r="346" spans="1:11" ht="15.75" x14ac:dyDescent="0.25">
      <c r="A346" s="536" t="s">
        <v>263</v>
      </c>
      <c r="B346" s="536"/>
      <c r="C346" s="536"/>
      <c r="D346" s="536"/>
      <c r="E346" s="2"/>
      <c r="F346" s="2"/>
      <c r="G346" s="2"/>
      <c r="H346" s="2"/>
      <c r="I346" s="2"/>
    </row>
    <row r="347" spans="1:11" x14ac:dyDescent="0.25">
      <c r="A347" s="2"/>
      <c r="B347" s="2"/>
      <c r="C347" s="2"/>
      <c r="D347" s="2"/>
      <c r="E347" s="2"/>
      <c r="F347" s="2"/>
      <c r="G347" s="2"/>
      <c r="H347" s="2"/>
      <c r="I347" s="2"/>
    </row>
    <row r="348" spans="1:11" x14ac:dyDescent="0.25">
      <c r="A348" s="2"/>
      <c r="B348" s="2"/>
      <c r="C348" s="2"/>
      <c r="D348" s="2"/>
      <c r="E348" s="2"/>
      <c r="F348" s="2"/>
      <c r="G348" s="2"/>
      <c r="H348" s="2"/>
      <c r="I348" s="2"/>
    </row>
    <row r="349" spans="1:11" x14ac:dyDescent="0.25">
      <c r="A349" s="2"/>
      <c r="B349" s="2"/>
      <c r="C349" s="2"/>
      <c r="D349" s="2"/>
      <c r="E349" s="2"/>
      <c r="F349" s="2"/>
      <c r="G349" s="2"/>
      <c r="H349" s="2"/>
      <c r="I349" s="2"/>
    </row>
    <row r="350" spans="1:11" x14ac:dyDescent="0.25">
      <c r="A350" s="2"/>
      <c r="B350" s="2"/>
      <c r="C350" s="2"/>
      <c r="D350" s="596" t="s">
        <v>44</v>
      </c>
      <c r="E350" s="596"/>
      <c r="F350" s="161">
        <f>C107</f>
        <v>8</v>
      </c>
      <c r="G350" s="25" t="s">
        <v>7</v>
      </c>
      <c r="H350" s="2"/>
      <c r="I350" s="2"/>
    </row>
    <row r="351" spans="1:11" x14ac:dyDescent="0.25">
      <c r="A351" s="2"/>
      <c r="B351" s="2"/>
      <c r="C351" s="2"/>
      <c r="D351" s="68"/>
      <c r="E351" s="68"/>
      <c r="F351" s="68"/>
      <c r="G351" s="2"/>
      <c r="H351" s="2"/>
      <c r="I351" s="2"/>
    </row>
    <row r="352" spans="1:11" ht="15.75" x14ac:dyDescent="0.25">
      <c r="A352" s="2"/>
      <c r="B352" s="22" t="s">
        <v>383</v>
      </c>
      <c r="C352" s="2"/>
      <c r="D352" s="2"/>
      <c r="E352" s="2"/>
      <c r="F352" s="2"/>
      <c r="G352" s="2"/>
      <c r="H352" s="2"/>
      <c r="I352" s="2"/>
    </row>
    <row r="353" spans="1:9" ht="15.75" x14ac:dyDescent="0.25">
      <c r="A353" s="2"/>
      <c r="B353" s="2"/>
      <c r="C353" s="499" t="s">
        <v>45</v>
      </c>
      <c r="D353" s="499"/>
      <c r="E353" s="68">
        <f>B111</f>
        <v>25</v>
      </c>
      <c r="F353" s="2" t="s">
        <v>166</v>
      </c>
      <c r="G353" s="2"/>
      <c r="H353" s="2"/>
      <c r="I353" s="2"/>
    </row>
    <row r="354" spans="1:9" x14ac:dyDescent="0.25">
      <c r="A354" s="2"/>
      <c r="B354" s="2"/>
      <c r="C354" s="500" t="s">
        <v>46</v>
      </c>
      <c r="D354" s="501"/>
      <c r="E354" s="504" t="s">
        <v>47</v>
      </c>
      <c r="F354" s="505" t="s">
        <v>48</v>
      </c>
      <c r="G354" s="507" t="s">
        <v>49</v>
      </c>
      <c r="H354" s="2"/>
      <c r="I354" s="2"/>
    </row>
    <row r="355" spans="1:9" x14ac:dyDescent="0.25">
      <c r="A355" s="2"/>
      <c r="B355" s="2"/>
      <c r="C355" s="502"/>
      <c r="D355" s="503"/>
      <c r="E355" s="504"/>
      <c r="F355" s="506"/>
      <c r="G355" s="507"/>
      <c r="H355" s="2"/>
      <c r="I355" s="2"/>
    </row>
    <row r="356" spans="1:9" x14ac:dyDescent="0.25">
      <c r="A356" s="2"/>
      <c r="B356" s="2"/>
      <c r="C356" s="608" t="s">
        <v>384</v>
      </c>
      <c r="D356" s="609"/>
      <c r="E356" s="69" t="s">
        <v>11</v>
      </c>
      <c r="F356" s="70">
        <f>D111</f>
        <v>0.2</v>
      </c>
      <c r="G356" s="71">
        <f>(F356*F350)/E353</f>
        <v>6.4000000000000001E-2</v>
      </c>
      <c r="H356" s="2"/>
      <c r="I356" s="2"/>
    </row>
    <row r="357" spans="1:9" x14ac:dyDescent="0.25">
      <c r="A357" s="2"/>
      <c r="B357" s="2"/>
      <c r="C357" s="610"/>
      <c r="D357" s="611"/>
      <c r="E357" s="69" t="s">
        <v>12</v>
      </c>
      <c r="F357" s="70">
        <f>E111</f>
        <v>2</v>
      </c>
      <c r="G357" s="71">
        <f>(F357*F350)/E353</f>
        <v>0.64</v>
      </c>
      <c r="H357" s="2"/>
      <c r="I357" s="2"/>
    </row>
    <row r="358" spans="1:9" x14ac:dyDescent="0.25">
      <c r="A358" s="2"/>
      <c r="B358" s="2"/>
      <c r="C358" s="234" t="s">
        <v>308</v>
      </c>
      <c r="D358" s="235">
        <f>E34</f>
        <v>210</v>
      </c>
      <c r="E358" s="69" t="s">
        <v>13</v>
      </c>
      <c r="F358" s="70">
        <f>F111</f>
        <v>2</v>
      </c>
      <c r="G358" s="71">
        <f>(F358*F350)/E353</f>
        <v>0.64</v>
      </c>
      <c r="H358" s="2"/>
      <c r="I358" s="2"/>
    </row>
    <row r="359" spans="1:9" ht="15.75" customHeight="1" x14ac:dyDescent="0.25">
      <c r="A359" s="2"/>
      <c r="B359" s="2"/>
      <c r="C359" s="606" t="s">
        <v>309</v>
      </c>
      <c r="D359" s="607"/>
      <c r="E359" s="69" t="s">
        <v>14</v>
      </c>
      <c r="F359" s="70">
        <f>G111</f>
        <v>8</v>
      </c>
      <c r="G359" s="71">
        <f>(F359*F350)/E353</f>
        <v>2.56</v>
      </c>
      <c r="H359" s="2"/>
      <c r="I359" s="2"/>
    </row>
    <row r="360" spans="1:9" x14ac:dyDescent="0.25">
      <c r="A360" s="2"/>
      <c r="B360" s="2"/>
      <c r="C360" s="612"/>
      <c r="D360" s="613"/>
      <c r="E360" s="69" t="s">
        <v>50</v>
      </c>
      <c r="F360" s="70">
        <f>H111</f>
        <v>1</v>
      </c>
      <c r="G360" s="71">
        <f>(F360*F350/E353)</f>
        <v>0.32</v>
      </c>
      <c r="H360" s="2"/>
      <c r="I360" s="2"/>
    </row>
    <row r="361" spans="1:9" x14ac:dyDescent="0.25">
      <c r="A361" s="2"/>
      <c r="B361" s="2"/>
      <c r="C361" s="2"/>
      <c r="D361" s="2"/>
      <c r="E361" s="2"/>
      <c r="F361" s="2"/>
      <c r="G361" s="2"/>
      <c r="H361" s="2"/>
      <c r="I361" s="2"/>
    </row>
    <row r="362" spans="1:9" x14ac:dyDescent="0.25">
      <c r="A362" s="2"/>
      <c r="B362" s="2"/>
      <c r="C362" s="2"/>
      <c r="D362" s="2"/>
      <c r="E362" s="2"/>
      <c r="F362" s="2"/>
      <c r="G362" s="2"/>
      <c r="H362" s="2"/>
      <c r="I362" s="2"/>
    </row>
    <row r="363" spans="1:9" ht="15.75" x14ac:dyDescent="0.25">
      <c r="A363" s="2"/>
      <c r="B363" s="22" t="s">
        <v>385</v>
      </c>
      <c r="C363" s="2"/>
      <c r="D363" s="2"/>
      <c r="E363" s="2"/>
      <c r="F363" s="2"/>
      <c r="G363" s="2"/>
      <c r="H363" s="2"/>
      <c r="I363" s="2"/>
    </row>
    <row r="364" spans="1:9" ht="15.75" x14ac:dyDescent="0.25">
      <c r="A364" s="2"/>
      <c r="B364" s="2"/>
      <c r="C364" s="499" t="s">
        <v>45</v>
      </c>
      <c r="D364" s="499"/>
      <c r="E364" s="68">
        <f>B113</f>
        <v>14</v>
      </c>
      <c r="F364" s="2" t="s">
        <v>310</v>
      </c>
      <c r="G364" s="2"/>
      <c r="H364" s="2"/>
      <c r="I364" s="2"/>
    </row>
    <row r="365" spans="1:9" x14ac:dyDescent="0.25">
      <c r="A365" s="2"/>
      <c r="B365" s="2"/>
      <c r="C365" s="500" t="s">
        <v>46</v>
      </c>
      <c r="D365" s="501"/>
      <c r="E365" s="504" t="s">
        <v>47</v>
      </c>
      <c r="F365" s="505" t="s">
        <v>48</v>
      </c>
      <c r="G365" s="507" t="s">
        <v>49</v>
      </c>
      <c r="H365" s="2"/>
      <c r="I365" s="2"/>
    </row>
    <row r="366" spans="1:9" x14ac:dyDescent="0.25">
      <c r="A366" s="2"/>
      <c r="B366" s="2"/>
      <c r="C366" s="502"/>
      <c r="D366" s="503"/>
      <c r="E366" s="504"/>
      <c r="F366" s="506"/>
      <c r="G366" s="507"/>
      <c r="H366" s="2"/>
      <c r="I366" s="2"/>
    </row>
    <row r="367" spans="1:9" x14ac:dyDescent="0.25">
      <c r="A367" s="2"/>
      <c r="B367" s="2"/>
      <c r="C367" s="508" t="s">
        <v>386</v>
      </c>
      <c r="D367" s="509"/>
      <c r="E367" s="69" t="s">
        <v>11</v>
      </c>
      <c r="F367" s="70">
        <f>D113</f>
        <v>0.1</v>
      </c>
      <c r="G367" s="71">
        <f>(F367*F350)/E364</f>
        <v>5.7142857142857148E-2</v>
      </c>
      <c r="H367" s="2"/>
      <c r="I367" s="2"/>
    </row>
    <row r="368" spans="1:9" x14ac:dyDescent="0.25">
      <c r="A368" s="2"/>
      <c r="B368" s="2"/>
      <c r="C368" s="606"/>
      <c r="D368" s="607"/>
      <c r="E368" s="69" t="s">
        <v>12</v>
      </c>
      <c r="F368" s="70">
        <f>E113</f>
        <v>1</v>
      </c>
      <c r="G368" s="71">
        <f>(F368*F350)/E364</f>
        <v>0.5714285714285714</v>
      </c>
      <c r="H368" s="2"/>
      <c r="I368" s="2"/>
    </row>
    <row r="369" spans="1:9" x14ac:dyDescent="0.25">
      <c r="A369" s="2"/>
      <c r="B369" s="2"/>
      <c r="C369" s="606"/>
      <c r="D369" s="607"/>
      <c r="E369" s="69" t="s">
        <v>13</v>
      </c>
      <c r="F369" s="70">
        <f>F113</f>
        <v>1</v>
      </c>
      <c r="G369" s="71">
        <f>(F369*F350)/E364</f>
        <v>0.5714285714285714</v>
      </c>
      <c r="H369" s="2"/>
      <c r="I369" s="2"/>
    </row>
    <row r="370" spans="1:9" ht="15.75" customHeight="1" x14ac:dyDescent="0.25">
      <c r="A370" s="2"/>
      <c r="B370" s="2"/>
      <c r="C370" s="510"/>
      <c r="D370" s="511"/>
      <c r="E370" s="69" t="s">
        <v>14</v>
      </c>
      <c r="F370" s="70">
        <f>G113</f>
        <v>0</v>
      </c>
      <c r="G370" s="71">
        <f>(F370*F350)/E364</f>
        <v>0</v>
      </c>
      <c r="H370" s="2"/>
      <c r="I370" s="2"/>
    </row>
    <row r="371" spans="1:9" x14ac:dyDescent="0.25">
      <c r="A371" s="2"/>
      <c r="B371" s="2"/>
      <c r="C371" s="2"/>
      <c r="D371" s="2"/>
      <c r="E371" s="2"/>
      <c r="F371" s="2"/>
      <c r="G371" s="2"/>
      <c r="H371" s="2"/>
      <c r="I371" s="2"/>
    </row>
    <row r="372" spans="1:9" x14ac:dyDescent="0.25">
      <c r="A372" s="2"/>
      <c r="B372" s="2"/>
      <c r="C372" s="2"/>
      <c r="D372" s="2"/>
      <c r="E372" s="2"/>
      <c r="F372" s="2"/>
      <c r="G372" s="2"/>
      <c r="H372" s="2"/>
      <c r="I372" s="2"/>
    </row>
    <row r="373" spans="1:9" x14ac:dyDescent="0.25">
      <c r="A373" s="2"/>
      <c r="B373" s="22" t="s">
        <v>311</v>
      </c>
      <c r="C373" s="2"/>
      <c r="D373" s="2"/>
      <c r="E373" s="2"/>
      <c r="F373" s="2"/>
      <c r="G373" s="2"/>
      <c r="H373" s="2"/>
      <c r="I373" s="2"/>
    </row>
    <row r="374" spans="1:9" ht="15.75" x14ac:dyDescent="0.25">
      <c r="A374" s="2"/>
      <c r="B374" s="2"/>
      <c r="C374" s="499" t="s">
        <v>45</v>
      </c>
      <c r="D374" s="499"/>
      <c r="E374" s="68">
        <f>B115</f>
        <v>250</v>
      </c>
      <c r="F374" s="236" t="s">
        <v>228</v>
      </c>
      <c r="G374" s="2"/>
      <c r="H374" s="2"/>
      <c r="I374" s="2"/>
    </row>
    <row r="375" spans="1:9" x14ac:dyDescent="0.25">
      <c r="A375" s="2"/>
      <c r="B375" s="2"/>
      <c r="C375" s="500" t="s">
        <v>46</v>
      </c>
      <c r="D375" s="501"/>
      <c r="E375" s="504" t="s">
        <v>47</v>
      </c>
      <c r="F375" s="505" t="s">
        <v>48</v>
      </c>
      <c r="G375" s="507" t="s">
        <v>49</v>
      </c>
      <c r="H375" s="2"/>
      <c r="I375" s="2"/>
    </row>
    <row r="376" spans="1:9" x14ac:dyDescent="0.25">
      <c r="A376" s="2"/>
      <c r="B376" s="2"/>
      <c r="C376" s="502"/>
      <c r="D376" s="503"/>
      <c r="E376" s="504"/>
      <c r="F376" s="506"/>
      <c r="G376" s="507"/>
      <c r="H376" s="2"/>
      <c r="I376" s="2"/>
    </row>
    <row r="377" spans="1:9" x14ac:dyDescent="0.25">
      <c r="A377" s="2"/>
      <c r="B377" s="2"/>
      <c r="C377" s="508" t="s">
        <v>312</v>
      </c>
      <c r="D377" s="509"/>
      <c r="E377" s="69" t="s">
        <v>11</v>
      </c>
      <c r="F377" s="70">
        <f>D115</f>
        <v>0.1</v>
      </c>
      <c r="G377" s="71">
        <f>(F377*F350)/E374</f>
        <v>3.2000000000000002E-3</v>
      </c>
      <c r="H377" s="2"/>
      <c r="I377" s="2"/>
    </row>
    <row r="378" spans="1:9" x14ac:dyDescent="0.25">
      <c r="A378" s="2"/>
      <c r="B378" s="2"/>
      <c r="C378" s="606"/>
      <c r="D378" s="607"/>
      <c r="E378" s="69" t="s">
        <v>12</v>
      </c>
      <c r="F378" s="70">
        <f>E115</f>
        <v>1</v>
      </c>
      <c r="G378" s="71">
        <f>(F378*F350)/E374</f>
        <v>3.2000000000000001E-2</v>
      </c>
      <c r="H378" s="2"/>
      <c r="I378" s="2"/>
    </row>
    <row r="379" spans="1:9" x14ac:dyDescent="0.25">
      <c r="A379" s="2"/>
      <c r="B379" s="2"/>
      <c r="C379" s="606"/>
      <c r="D379" s="607"/>
      <c r="E379" s="69" t="s">
        <v>13</v>
      </c>
      <c r="F379" s="70">
        <f>F115</f>
        <v>1</v>
      </c>
      <c r="G379" s="71">
        <f>(F379*F350)/E374</f>
        <v>3.2000000000000001E-2</v>
      </c>
      <c r="H379" s="2"/>
      <c r="I379" s="2"/>
    </row>
    <row r="380" spans="1:9" ht="15.75" customHeight="1" x14ac:dyDescent="0.25">
      <c r="A380" s="2"/>
      <c r="B380" s="2"/>
      <c r="C380" s="510"/>
      <c r="D380" s="511"/>
      <c r="E380" s="69" t="s">
        <v>14</v>
      </c>
      <c r="F380" s="70">
        <f>G115</f>
        <v>1</v>
      </c>
      <c r="G380" s="71">
        <f>(F380*F350)/E374</f>
        <v>3.2000000000000001E-2</v>
      </c>
      <c r="H380" s="2"/>
      <c r="I380" s="2"/>
    </row>
    <row r="381" spans="1:9" x14ac:dyDescent="0.25">
      <c r="A381" s="2"/>
      <c r="B381" s="2"/>
      <c r="C381" s="2"/>
      <c r="D381" s="2"/>
      <c r="E381" s="2"/>
      <c r="F381" s="2"/>
      <c r="G381" s="2"/>
      <c r="H381" s="2"/>
      <c r="I381" s="2"/>
    </row>
    <row r="382" spans="1:9" x14ac:dyDescent="0.25">
      <c r="A382" s="2"/>
      <c r="B382" s="2"/>
      <c r="C382" s="2"/>
      <c r="D382" s="2"/>
      <c r="E382" s="2"/>
      <c r="F382" s="2"/>
      <c r="G382" s="2"/>
      <c r="H382" s="2"/>
      <c r="I382" s="2"/>
    </row>
    <row r="383" spans="1:9" ht="15.75" x14ac:dyDescent="0.25">
      <c r="A383" s="2"/>
      <c r="B383" s="22" t="s">
        <v>387</v>
      </c>
      <c r="C383" s="2"/>
      <c r="D383" s="2"/>
      <c r="E383" s="2"/>
      <c r="F383" s="2"/>
      <c r="G383" s="2"/>
      <c r="H383" s="2"/>
      <c r="I383" s="2"/>
    </row>
    <row r="384" spans="1:9" ht="15.75" x14ac:dyDescent="0.25">
      <c r="A384" s="2"/>
      <c r="B384" s="2"/>
      <c r="C384" s="499" t="s">
        <v>45</v>
      </c>
      <c r="D384" s="499"/>
      <c r="E384" s="68">
        <f>B117</f>
        <v>80</v>
      </c>
      <c r="F384" s="2" t="s">
        <v>310</v>
      </c>
      <c r="G384" s="2"/>
      <c r="H384" s="2"/>
      <c r="I384" s="2"/>
    </row>
    <row r="385" spans="1:11" x14ac:dyDescent="0.25">
      <c r="A385" s="2"/>
      <c r="B385" s="2"/>
      <c r="C385" s="500" t="s">
        <v>46</v>
      </c>
      <c r="D385" s="501"/>
      <c r="E385" s="504" t="s">
        <v>47</v>
      </c>
      <c r="F385" s="505" t="s">
        <v>48</v>
      </c>
      <c r="G385" s="507" t="s">
        <v>49</v>
      </c>
      <c r="H385" s="2"/>
      <c r="I385" s="2"/>
    </row>
    <row r="386" spans="1:11" x14ac:dyDescent="0.25">
      <c r="A386" s="2"/>
      <c r="B386" s="2"/>
      <c r="C386" s="614"/>
      <c r="D386" s="615"/>
      <c r="E386" s="504"/>
      <c r="F386" s="506"/>
      <c r="G386" s="507"/>
      <c r="H386" s="2"/>
      <c r="I386" s="2"/>
    </row>
    <row r="387" spans="1:11" x14ac:dyDescent="0.25">
      <c r="A387" s="2"/>
      <c r="B387" s="2"/>
      <c r="C387" s="508" t="s">
        <v>388</v>
      </c>
      <c r="D387" s="509"/>
      <c r="E387" s="69" t="s">
        <v>11</v>
      </c>
      <c r="F387" s="70">
        <f>D117</f>
        <v>0.2</v>
      </c>
      <c r="G387" s="71">
        <f>(F387*$F$350)/$E$384</f>
        <v>0.02</v>
      </c>
      <c r="H387" s="2"/>
      <c r="I387" s="273"/>
    </row>
    <row r="388" spans="1:11" x14ac:dyDescent="0.25">
      <c r="A388" s="2"/>
      <c r="B388" s="2"/>
      <c r="C388" s="606"/>
      <c r="D388" s="607"/>
      <c r="E388" s="69" t="s">
        <v>12</v>
      </c>
      <c r="F388" s="70">
        <f>E117</f>
        <v>2</v>
      </c>
      <c r="G388" s="71">
        <f t="shared" ref="G388:G391" si="3">(F388*$F$350)/$E$384</f>
        <v>0.2</v>
      </c>
      <c r="H388" s="2"/>
      <c r="I388" s="273"/>
    </row>
    <row r="389" spans="1:11" x14ac:dyDescent="0.25">
      <c r="A389" s="2"/>
      <c r="B389" s="2"/>
      <c r="C389" s="237" t="s">
        <v>381</v>
      </c>
      <c r="D389" s="290">
        <f>F99</f>
        <v>10</v>
      </c>
      <c r="E389" s="69" t="s">
        <v>13</v>
      </c>
      <c r="F389" s="70">
        <f>F117</f>
        <v>1</v>
      </c>
      <c r="G389" s="71">
        <f t="shared" si="3"/>
        <v>0.1</v>
      </c>
      <c r="H389" s="2"/>
      <c r="I389" s="273"/>
    </row>
    <row r="390" spans="1:11" ht="15.75" customHeight="1" x14ac:dyDescent="0.25">
      <c r="A390" s="2"/>
      <c r="B390" s="2"/>
      <c r="C390" s="237" t="s">
        <v>382</v>
      </c>
      <c r="D390" s="276" t="str">
        <f>F98</f>
        <v>1:12</v>
      </c>
      <c r="E390" s="69" t="s">
        <v>14</v>
      </c>
      <c r="F390" s="70">
        <f>G117</f>
        <v>6</v>
      </c>
      <c r="G390" s="71">
        <f t="shared" si="3"/>
        <v>0.6</v>
      </c>
      <c r="H390" s="2"/>
      <c r="I390" s="273"/>
    </row>
    <row r="391" spans="1:11" ht="15.75" customHeight="1" x14ac:dyDescent="0.25">
      <c r="A391" s="2"/>
      <c r="B391" s="2"/>
      <c r="C391" s="72"/>
      <c r="D391" s="73"/>
      <c r="E391" s="74" t="s">
        <v>50</v>
      </c>
      <c r="F391" s="70">
        <f>H117</f>
        <v>1</v>
      </c>
      <c r="G391" s="71">
        <f t="shared" si="3"/>
        <v>0.1</v>
      </c>
      <c r="H391" s="2"/>
      <c r="I391" s="273"/>
    </row>
    <row r="392" spans="1:11" x14ac:dyDescent="0.25">
      <c r="A392" s="2"/>
      <c r="B392" s="2"/>
      <c r="C392" s="2"/>
      <c r="D392" s="2"/>
      <c r="E392" s="2"/>
      <c r="F392" s="2"/>
      <c r="G392" s="2"/>
      <c r="H392" s="2"/>
      <c r="I392" s="2"/>
    </row>
    <row r="393" spans="1:11" x14ac:dyDescent="0.25">
      <c r="A393" s="2"/>
      <c r="B393" s="2"/>
      <c r="C393" s="2"/>
      <c r="D393" s="2"/>
      <c r="E393" s="2"/>
      <c r="F393" s="2"/>
      <c r="G393" s="2"/>
      <c r="H393" s="2"/>
      <c r="I393" s="2"/>
    </row>
    <row r="394" spans="1:11" ht="15.75" x14ac:dyDescent="0.25">
      <c r="A394" s="274" t="s">
        <v>51</v>
      </c>
      <c r="B394" s="166"/>
      <c r="C394" s="166"/>
      <c r="D394" s="190"/>
      <c r="E394" s="2"/>
      <c r="F394" s="2"/>
      <c r="G394" s="2"/>
      <c r="H394" s="2"/>
      <c r="I394" s="2"/>
      <c r="K394" s="80"/>
    </row>
    <row r="395" spans="1:11" x14ac:dyDescent="0.25">
      <c r="A395" s="2"/>
      <c r="B395" s="2"/>
      <c r="C395" s="2"/>
      <c r="D395" s="2"/>
      <c r="E395" s="2"/>
      <c r="F395" s="2"/>
      <c r="G395" s="2"/>
      <c r="H395" s="2"/>
      <c r="I395" s="2"/>
    </row>
    <row r="396" spans="1:11" ht="15.75" x14ac:dyDescent="0.25">
      <c r="A396" s="2"/>
      <c r="B396" s="22" t="s">
        <v>389</v>
      </c>
      <c r="C396" s="2"/>
      <c r="D396" s="2"/>
      <c r="E396" s="2"/>
      <c r="F396" s="2"/>
      <c r="G396" s="2"/>
      <c r="H396" s="2"/>
      <c r="I396" s="2"/>
    </row>
    <row r="397" spans="1:11" ht="15.75" x14ac:dyDescent="0.25">
      <c r="A397" s="2"/>
      <c r="B397" s="2"/>
      <c r="C397" s="499" t="s">
        <v>45</v>
      </c>
      <c r="D397" s="499"/>
      <c r="E397" s="68">
        <f>B111</f>
        <v>25</v>
      </c>
      <c r="F397" s="2" t="s">
        <v>166</v>
      </c>
      <c r="G397" s="2"/>
      <c r="H397" s="2"/>
      <c r="I397" s="2"/>
    </row>
    <row r="398" spans="1:11" x14ac:dyDescent="0.25">
      <c r="A398" s="2"/>
      <c r="B398" s="2"/>
      <c r="C398" s="500" t="s">
        <v>46</v>
      </c>
      <c r="D398" s="501"/>
      <c r="E398" s="504" t="s">
        <v>52</v>
      </c>
      <c r="F398" s="505" t="s">
        <v>48</v>
      </c>
      <c r="G398" s="507" t="s">
        <v>53</v>
      </c>
      <c r="H398" s="2"/>
      <c r="I398" s="2"/>
    </row>
    <row r="399" spans="1:11" x14ac:dyDescent="0.25">
      <c r="A399" s="2"/>
      <c r="B399" s="2"/>
      <c r="C399" s="502"/>
      <c r="D399" s="503"/>
      <c r="E399" s="504"/>
      <c r="F399" s="506"/>
      <c r="G399" s="507"/>
      <c r="H399" s="2"/>
      <c r="I399" s="2"/>
    </row>
    <row r="400" spans="1:11" ht="18.75" customHeight="1" x14ac:dyDescent="0.25">
      <c r="A400" s="2"/>
      <c r="B400" s="2"/>
      <c r="C400" s="608" t="s">
        <v>384</v>
      </c>
      <c r="D400" s="609"/>
      <c r="E400" s="637" t="s">
        <v>264</v>
      </c>
      <c r="F400" s="514">
        <f>F126</f>
        <v>1</v>
      </c>
      <c r="G400" s="516">
        <f>(F400*F350)/E397</f>
        <v>0.32</v>
      </c>
      <c r="H400" s="2"/>
      <c r="I400" s="2"/>
    </row>
    <row r="401" spans="1:11" ht="18.75" customHeight="1" x14ac:dyDescent="0.25">
      <c r="A401" s="2"/>
      <c r="B401" s="2"/>
      <c r="C401" s="610"/>
      <c r="D401" s="611"/>
      <c r="E401" s="638"/>
      <c r="F401" s="515"/>
      <c r="G401" s="517"/>
      <c r="H401" s="2"/>
      <c r="I401" s="2"/>
    </row>
    <row r="402" spans="1:11" ht="21" customHeight="1" x14ac:dyDescent="0.25">
      <c r="A402" s="2"/>
      <c r="B402" s="2"/>
      <c r="C402" s="237" t="s">
        <v>308</v>
      </c>
      <c r="D402" s="235">
        <f>E34</f>
        <v>210</v>
      </c>
      <c r="E402" s="637" t="s">
        <v>54</v>
      </c>
      <c r="F402" s="514">
        <f>F127</f>
        <v>1</v>
      </c>
      <c r="G402" s="516">
        <f>(F402*F350)/E397</f>
        <v>0.32</v>
      </c>
      <c r="H402" s="2"/>
      <c r="I402" s="2"/>
    </row>
    <row r="403" spans="1:11" ht="19.5" customHeight="1" x14ac:dyDescent="0.25">
      <c r="A403" s="2"/>
      <c r="B403" s="2"/>
      <c r="C403" s="639" t="s">
        <v>309</v>
      </c>
      <c r="D403" s="640"/>
      <c r="E403" s="638"/>
      <c r="F403" s="515"/>
      <c r="G403" s="517"/>
      <c r="H403" s="2"/>
      <c r="I403" s="2"/>
      <c r="K403" s="83"/>
    </row>
    <row r="404" spans="1:11" x14ac:dyDescent="0.25">
      <c r="A404" s="2"/>
      <c r="B404" s="2"/>
      <c r="C404" s="2"/>
      <c r="D404" s="2"/>
      <c r="E404" s="2"/>
      <c r="F404" s="2"/>
      <c r="G404" s="2"/>
      <c r="H404" s="2"/>
      <c r="I404" s="2"/>
      <c r="K404" s="83"/>
    </row>
    <row r="405" spans="1:11" x14ac:dyDescent="0.25">
      <c r="A405" s="2"/>
      <c r="B405" s="2"/>
      <c r="C405" s="2"/>
      <c r="D405" s="2"/>
      <c r="E405" s="2"/>
      <c r="F405" s="2"/>
      <c r="G405" s="2"/>
      <c r="H405" s="2"/>
      <c r="I405" s="2"/>
      <c r="K405" s="83"/>
    </row>
    <row r="406" spans="1:11" ht="15.75" x14ac:dyDescent="0.25">
      <c r="A406" s="2"/>
      <c r="B406" s="22" t="s">
        <v>390</v>
      </c>
      <c r="C406" s="2"/>
      <c r="D406" s="2"/>
      <c r="E406" s="2"/>
      <c r="F406" s="2"/>
      <c r="G406" s="2"/>
      <c r="H406" s="2"/>
      <c r="I406" s="2"/>
    </row>
    <row r="407" spans="1:11" ht="15.75" x14ac:dyDescent="0.25">
      <c r="A407" s="2"/>
      <c r="B407" s="2"/>
      <c r="C407" s="499" t="s">
        <v>45</v>
      </c>
      <c r="D407" s="499"/>
      <c r="E407" s="68">
        <f>B117</f>
        <v>80</v>
      </c>
      <c r="F407" s="2" t="s">
        <v>310</v>
      </c>
      <c r="G407" s="2"/>
      <c r="H407" s="2"/>
      <c r="I407" s="2"/>
    </row>
    <row r="408" spans="1:11" x14ac:dyDescent="0.25">
      <c r="A408" s="2"/>
      <c r="B408" s="2"/>
      <c r="C408" s="500" t="s">
        <v>46</v>
      </c>
      <c r="D408" s="501"/>
      <c r="E408" s="504" t="s">
        <v>52</v>
      </c>
      <c r="F408" s="505" t="s">
        <v>48</v>
      </c>
      <c r="G408" s="507" t="s">
        <v>53</v>
      </c>
      <c r="H408" s="2"/>
      <c r="I408" s="2"/>
    </row>
    <row r="409" spans="1:11" x14ac:dyDescent="0.25">
      <c r="A409" s="2"/>
      <c r="B409" s="2"/>
      <c r="C409" s="502"/>
      <c r="D409" s="503"/>
      <c r="E409" s="504"/>
      <c r="F409" s="506"/>
      <c r="G409" s="507"/>
      <c r="H409" s="2"/>
      <c r="I409" s="2"/>
    </row>
    <row r="410" spans="1:11" x14ac:dyDescent="0.25">
      <c r="A410" s="2"/>
      <c r="B410" s="2"/>
      <c r="C410" s="508" t="str">
        <f>C387</f>
        <v>CONCRETO SIMPLE PARA SOLADOS</v>
      </c>
      <c r="D410" s="509"/>
      <c r="E410" s="512" t="s">
        <v>54</v>
      </c>
      <c r="F410" s="514">
        <f>F127</f>
        <v>1</v>
      </c>
      <c r="G410" s="516">
        <f>(F410*F350)/E407</f>
        <v>0.1</v>
      </c>
      <c r="H410" s="2"/>
      <c r="I410" s="2"/>
    </row>
    <row r="411" spans="1:11" ht="21.75" customHeight="1" x14ac:dyDescent="0.25">
      <c r="A411" s="2"/>
      <c r="B411" s="2"/>
      <c r="C411" s="510"/>
      <c r="D411" s="511"/>
      <c r="E411" s="513"/>
      <c r="F411" s="515"/>
      <c r="G411" s="517"/>
      <c r="H411" s="2"/>
      <c r="I411" s="2"/>
    </row>
    <row r="412" spans="1:11" x14ac:dyDescent="0.25">
      <c r="A412" s="2"/>
      <c r="B412" s="2"/>
      <c r="C412" s="2"/>
      <c r="D412" s="2"/>
      <c r="E412" s="2"/>
      <c r="F412" s="2"/>
      <c r="G412" s="2"/>
      <c r="H412" s="2"/>
      <c r="I412" s="2"/>
      <c r="K412" s="83"/>
    </row>
    <row r="413" spans="1:11" x14ac:dyDescent="0.25">
      <c r="A413" s="2"/>
      <c r="B413" s="2"/>
      <c r="C413" s="2"/>
      <c r="D413" s="2"/>
      <c r="E413" s="2"/>
      <c r="F413" s="2"/>
      <c r="G413" s="2"/>
      <c r="H413" s="2"/>
      <c r="I413" s="2"/>
      <c r="K413" s="83"/>
    </row>
    <row r="414" spans="1:11" x14ac:dyDescent="0.25">
      <c r="A414" s="2"/>
      <c r="B414" s="2"/>
      <c r="C414" s="2"/>
      <c r="D414" s="2"/>
      <c r="E414" s="2"/>
      <c r="F414" s="2"/>
      <c r="G414" s="2"/>
      <c r="H414" s="2"/>
      <c r="I414" s="2"/>
      <c r="K414" s="83"/>
    </row>
    <row r="415" spans="1:11" ht="15.75" x14ac:dyDescent="0.25">
      <c r="A415" s="274" t="s">
        <v>265</v>
      </c>
      <c r="B415" s="190"/>
      <c r="C415" s="190"/>
      <c r="D415" s="190"/>
      <c r="E415" s="2"/>
      <c r="F415" s="2"/>
      <c r="G415" s="2"/>
      <c r="H415" s="2"/>
      <c r="I415" s="2"/>
      <c r="K415" s="83"/>
    </row>
    <row r="416" spans="1:11" x14ac:dyDescent="0.25">
      <c r="A416" s="22"/>
      <c r="B416" s="2"/>
      <c r="C416" s="2"/>
      <c r="D416" s="2"/>
      <c r="E416" s="2"/>
      <c r="F416" s="2"/>
      <c r="G416" s="2"/>
      <c r="H416" s="2"/>
      <c r="I416" s="2"/>
      <c r="K416" s="83"/>
    </row>
    <row r="417" spans="1:12" ht="15.75" x14ac:dyDescent="0.25">
      <c r="A417" s="153"/>
      <c r="B417" s="153"/>
      <c r="C417" s="153"/>
      <c r="D417" s="153"/>
      <c r="E417" s="2"/>
      <c r="F417" s="2"/>
      <c r="G417" s="2"/>
      <c r="H417" s="2"/>
      <c r="I417" s="2"/>
    </row>
    <row r="418" spans="1:12" ht="15.75" customHeight="1" x14ac:dyDescent="0.25">
      <c r="A418" s="2"/>
      <c r="B418" s="2"/>
      <c r="C418" s="455" t="s">
        <v>171</v>
      </c>
      <c r="D418" s="455"/>
      <c r="E418" s="456" t="str">
        <f>IF(D195="SI","MAYOR A 50 UIT",IF(AND(D195="NO"),"MENOR A 50 UIT"))</f>
        <v>MAYOR A 50 UIT</v>
      </c>
      <c r="F418" s="456"/>
      <c r="G418" s="31"/>
      <c r="H418" s="31"/>
      <c r="I418" s="31"/>
      <c r="J418" s="154"/>
    </row>
    <row r="419" spans="1:12" ht="15.75" customHeight="1" x14ac:dyDescent="0.25">
      <c r="A419" s="2"/>
      <c r="B419" s="2"/>
      <c r="C419" s="455" t="s">
        <v>172</v>
      </c>
      <c r="D419" s="455"/>
      <c r="E419" s="6" t="str">
        <f>IF(E161="Incluido IGV","INCLUIDO IGV",IF(AND(E161="Sin IGV"),"SIN IGV"))</f>
        <v>SIN IGV</v>
      </c>
      <c r="F419" s="25"/>
      <c r="G419" s="2"/>
      <c r="H419" s="2"/>
      <c r="I419" s="2"/>
      <c r="K419" s="154"/>
      <c r="L419" s="154"/>
    </row>
    <row r="420" spans="1:12" ht="15.75" customHeight="1" x14ac:dyDescent="0.25">
      <c r="A420" s="2"/>
      <c r="B420" s="2"/>
      <c r="C420" s="77"/>
      <c r="D420" s="77"/>
      <c r="E420" s="4"/>
      <c r="F420" s="2"/>
      <c r="G420" s="2"/>
      <c r="H420" s="2"/>
      <c r="I420" s="2"/>
    </row>
    <row r="421" spans="1:12" x14ac:dyDescent="0.25">
      <c r="A421" s="22"/>
      <c r="B421" s="2"/>
      <c r="C421" s="2"/>
      <c r="D421" s="2"/>
      <c r="E421" s="2"/>
      <c r="F421" s="2"/>
      <c r="G421" s="2"/>
      <c r="H421" s="2"/>
      <c r="I421" s="2"/>
      <c r="K421" s="83"/>
    </row>
    <row r="422" spans="1:12" x14ac:dyDescent="0.25">
      <c r="A422" s="495" t="s">
        <v>56</v>
      </c>
      <c r="B422" s="495"/>
      <c r="C422" s="518" t="s">
        <v>391</v>
      </c>
      <c r="D422" s="518"/>
      <c r="E422" s="518"/>
      <c r="F422" s="238">
        <f>E34</f>
        <v>210</v>
      </c>
      <c r="G422" s="239" t="s">
        <v>193</v>
      </c>
      <c r="H422" s="2"/>
      <c r="I422" s="2"/>
      <c r="K422" s="83"/>
    </row>
    <row r="423" spans="1:12" ht="15.75" x14ac:dyDescent="0.25">
      <c r="A423" s="2"/>
      <c r="B423" s="2"/>
      <c r="C423" s="32" t="s">
        <v>57</v>
      </c>
      <c r="D423" s="68">
        <f>B111</f>
        <v>25</v>
      </c>
      <c r="E423" s="2" t="s">
        <v>168</v>
      </c>
      <c r="F423" s="2"/>
      <c r="G423" s="2"/>
      <c r="H423" s="2"/>
      <c r="I423" s="2"/>
      <c r="K423" s="83"/>
    </row>
    <row r="424" spans="1:12" ht="15.75" x14ac:dyDescent="0.25">
      <c r="A424" s="2"/>
      <c r="B424" s="2"/>
      <c r="C424" s="32" t="s">
        <v>58</v>
      </c>
      <c r="D424" s="76" t="s">
        <v>42</v>
      </c>
      <c r="E424" s="2"/>
      <c r="F424" s="77"/>
      <c r="G424" s="77" t="s">
        <v>59</v>
      </c>
      <c r="H424" s="78">
        <f>H427+H433+H440</f>
        <v>330.89735494425094</v>
      </c>
      <c r="I424" s="2"/>
      <c r="K424" s="83"/>
    </row>
    <row r="425" spans="1:12" x14ac:dyDescent="0.25">
      <c r="A425" s="497"/>
      <c r="B425" s="497"/>
      <c r="C425" s="26" t="s">
        <v>60</v>
      </c>
      <c r="D425" s="26" t="s">
        <v>61</v>
      </c>
      <c r="E425" s="26" t="s">
        <v>62</v>
      </c>
      <c r="F425" s="26" t="s">
        <v>63</v>
      </c>
      <c r="G425" s="497" t="s">
        <v>64</v>
      </c>
      <c r="H425" s="497"/>
      <c r="I425" s="2"/>
    </row>
    <row r="426" spans="1:12" x14ac:dyDescent="0.25">
      <c r="A426" s="470" t="s">
        <v>65</v>
      </c>
      <c r="B426" s="470"/>
      <c r="C426" s="470"/>
      <c r="D426" s="470"/>
      <c r="E426" s="470"/>
      <c r="F426" s="470"/>
      <c r="G426" s="498"/>
      <c r="H426" s="498"/>
      <c r="I426" s="2"/>
    </row>
    <row r="427" spans="1:12" x14ac:dyDescent="0.25">
      <c r="A427" s="469" t="s">
        <v>66</v>
      </c>
      <c r="B427" s="469"/>
      <c r="C427" s="11" t="s">
        <v>67</v>
      </c>
      <c r="D427" s="81">
        <f>G356</f>
        <v>6.4000000000000001E-2</v>
      </c>
      <c r="E427" s="12">
        <f>IF(D195="SI",G184,IF(AND(D195="NO"),(E170*1.1)/8))</f>
        <v>26.646464625</v>
      </c>
      <c r="F427" s="82">
        <f>D427*E427</f>
        <v>1.7053737360000001</v>
      </c>
      <c r="G427" s="473" t="s">
        <v>24</v>
      </c>
      <c r="H427" s="475">
        <f>F427+F428+F429+F430+F431</f>
        <v>82.065064039999982</v>
      </c>
      <c r="I427" s="2"/>
    </row>
    <row r="428" spans="1:12" x14ac:dyDescent="0.25">
      <c r="A428" s="469" t="s">
        <v>68</v>
      </c>
      <c r="B428" s="469"/>
      <c r="C428" s="11" t="s">
        <v>67</v>
      </c>
      <c r="D428" s="81">
        <f>G357</f>
        <v>0.64</v>
      </c>
      <c r="E428" s="12">
        <f>IF(D195="SI",G185,IF(AND(D195="NO"),(E170/8)))</f>
        <v>24.224058749999998</v>
      </c>
      <c r="F428" s="82">
        <f>D428*E428</f>
        <v>15.5033976</v>
      </c>
      <c r="G428" s="519"/>
      <c r="H428" s="520"/>
      <c r="I428" s="2"/>
    </row>
    <row r="429" spans="1:12" x14ac:dyDescent="0.25">
      <c r="A429" s="469" t="s">
        <v>69</v>
      </c>
      <c r="B429" s="469"/>
      <c r="C429" s="11" t="s">
        <v>67</v>
      </c>
      <c r="D429" s="81">
        <f>G358</f>
        <v>0.64</v>
      </c>
      <c r="E429" s="12">
        <f>IF(D195="SI",G186,IF(AND(D195="NO"),(F170/8)))</f>
        <v>19.121340624999998</v>
      </c>
      <c r="F429" s="82">
        <f>D429*E429</f>
        <v>12.237658</v>
      </c>
      <c r="G429" s="519"/>
      <c r="H429" s="520"/>
      <c r="I429" s="2"/>
    </row>
    <row r="430" spans="1:12" x14ac:dyDescent="0.25">
      <c r="A430" s="469" t="s">
        <v>70</v>
      </c>
      <c r="B430" s="469"/>
      <c r="C430" s="11" t="s">
        <v>67</v>
      </c>
      <c r="D430" s="81">
        <f>G359</f>
        <v>2.56</v>
      </c>
      <c r="E430" s="12">
        <f>IF(D195="SI",G187,IF(AND(D195="NO"),(G170/8)))</f>
        <v>17.283906249999998</v>
      </c>
      <c r="F430" s="82">
        <f>D430*E430</f>
        <v>44.246799999999993</v>
      </c>
      <c r="G430" s="519"/>
      <c r="H430" s="520"/>
      <c r="I430" s="2"/>
    </row>
    <row r="431" spans="1:12" x14ac:dyDescent="0.25">
      <c r="A431" s="477" t="s">
        <v>266</v>
      </c>
      <c r="B431" s="478"/>
      <c r="C431" s="11" t="s">
        <v>67</v>
      </c>
      <c r="D431" s="81">
        <f>G360</f>
        <v>0.32</v>
      </c>
      <c r="E431" s="12">
        <f>IF(D195="SI",G189,IF(AND(D195="NO"),((E170*1.08)/8)))</f>
        <v>26.161983449999997</v>
      </c>
      <c r="F431" s="82">
        <f>D431*E431</f>
        <v>8.3718347039999994</v>
      </c>
      <c r="G431" s="474"/>
      <c r="H431" s="476"/>
      <c r="I431" s="2"/>
      <c r="K431" s="80"/>
    </row>
    <row r="432" spans="1:12" x14ac:dyDescent="0.25">
      <c r="A432" s="470" t="s">
        <v>72</v>
      </c>
      <c r="B432" s="470"/>
      <c r="C432" s="470"/>
      <c r="D432" s="470"/>
      <c r="E432" s="470"/>
      <c r="F432" s="470"/>
      <c r="G432" s="471"/>
      <c r="H432" s="471"/>
      <c r="I432" s="2"/>
    </row>
    <row r="433" spans="1:11" x14ac:dyDescent="0.25">
      <c r="A433" s="469" t="s">
        <v>73</v>
      </c>
      <c r="B433" s="469"/>
      <c r="C433" s="11" t="s">
        <v>74</v>
      </c>
      <c r="D433" s="12">
        <f>F240</f>
        <v>9.73</v>
      </c>
      <c r="E433" s="12">
        <f>IF(E161="Incluido IGV",F139,IF(AND(E161="Sin IGV"),H139))</f>
        <v>18.64406779661017</v>
      </c>
      <c r="F433" s="82">
        <f t="shared" ref="F433:F438" si="4">D433*E433</f>
        <v>181.40677966101697</v>
      </c>
      <c r="G433" s="473" t="s">
        <v>24</v>
      </c>
      <c r="H433" s="475">
        <f>F433+F434+F435+F436+F437+F438</f>
        <v>240.40423728813565</v>
      </c>
      <c r="I433" s="2"/>
    </row>
    <row r="434" spans="1:11" ht="15.75" x14ac:dyDescent="0.25">
      <c r="A434" s="469" t="s">
        <v>267</v>
      </c>
      <c r="B434" s="469"/>
      <c r="C434" s="11" t="s">
        <v>76</v>
      </c>
      <c r="D434" s="12">
        <f>F241</f>
        <v>0.52</v>
      </c>
      <c r="E434" s="12">
        <f>IF(E161="Incluido IGV",F140,IF(AND(E161="Sin IGV"),H140))</f>
        <v>50.847457627118644</v>
      </c>
      <c r="F434" s="82">
        <f t="shared" si="4"/>
        <v>26.440677966101696</v>
      </c>
      <c r="G434" s="519"/>
      <c r="H434" s="520"/>
      <c r="I434" s="2"/>
    </row>
    <row r="435" spans="1:11" ht="15.75" x14ac:dyDescent="0.25">
      <c r="A435" s="469" t="s">
        <v>268</v>
      </c>
      <c r="B435" s="469"/>
      <c r="C435" s="11" t="s">
        <v>76</v>
      </c>
      <c r="D435" s="12">
        <f>F242</f>
        <v>0.53</v>
      </c>
      <c r="E435" s="12">
        <f>IF(E161="Incluido IGV",F141,IF(AND(E161="Sin IGV"),H141))</f>
        <v>55.084745762711869</v>
      </c>
      <c r="F435" s="82">
        <f t="shared" si="4"/>
        <v>29.194915254237291</v>
      </c>
      <c r="G435" s="519"/>
      <c r="H435" s="520"/>
      <c r="I435" s="2"/>
    </row>
    <row r="436" spans="1:11" ht="15.75" x14ac:dyDescent="0.25">
      <c r="A436" s="469" t="s">
        <v>77</v>
      </c>
      <c r="B436" s="469"/>
      <c r="C436" s="11" t="s">
        <v>76</v>
      </c>
      <c r="D436" s="170">
        <f>F243</f>
        <v>0.186</v>
      </c>
      <c r="E436" s="12">
        <f>IF(E161="Incluido IGV",F142,IF(AND(E161="Sin IGV"),H142))</f>
        <v>4.2372881355932206</v>
      </c>
      <c r="F436" s="82">
        <f t="shared" si="4"/>
        <v>0.78813559322033899</v>
      </c>
      <c r="G436" s="519"/>
      <c r="H436" s="520"/>
      <c r="I436" s="2"/>
    </row>
    <row r="437" spans="1:11" x14ac:dyDescent="0.25">
      <c r="A437" s="477" t="str">
        <f>IF(G51="NO","GASOLINA 84 OCTANOS",IF(AND(G51="SI"),"-"))</f>
        <v>GASOLINA 84 OCTANOS</v>
      </c>
      <c r="B437" s="478"/>
      <c r="C437" s="11" t="str">
        <f>IF(G51="NO","galón",IF(AND(G51="SI"),"-"))</f>
        <v>galón</v>
      </c>
      <c r="D437" s="170">
        <f>IF(G51="NO",E48,IF(AND(G51="SI"),0))</f>
        <v>0.3</v>
      </c>
      <c r="E437" s="12">
        <f>IF(E161="Incluido IGV",F144,IF(AND(E161="Sin IGV"),H144))</f>
        <v>8.1271186440677976</v>
      </c>
      <c r="F437" s="82">
        <f t="shared" si="4"/>
        <v>2.438135593220339</v>
      </c>
      <c r="G437" s="519"/>
      <c r="H437" s="520"/>
      <c r="I437" s="2"/>
    </row>
    <row r="438" spans="1:11" x14ac:dyDescent="0.25">
      <c r="A438" s="477" t="str">
        <f>IF(G52="NO","GRASA MULTIPROPÓSITOS",IF(AND(G52="SI"),"-"))</f>
        <v>GRASA MULTIPROPÓSITOS</v>
      </c>
      <c r="B438" s="478"/>
      <c r="C438" s="11" t="str">
        <f>IF(G52="NO","kg",IF(AND(G52="SI"),"-"))</f>
        <v>kg</v>
      </c>
      <c r="D438" s="170">
        <f>IF(G52="NO",E49,IF(AND(G52="SI"),0))</f>
        <v>8.0000000000000002E-3</v>
      </c>
      <c r="E438" s="12">
        <f>IF(E161="Incluido IGV",F145,IF(AND(E161="Sin IGV"),H145))</f>
        <v>16.949152542372882</v>
      </c>
      <c r="F438" s="82">
        <f t="shared" si="4"/>
        <v>0.13559322033898305</v>
      </c>
      <c r="G438" s="474"/>
      <c r="H438" s="476"/>
      <c r="I438" s="2"/>
    </row>
    <row r="439" spans="1:11" x14ac:dyDescent="0.25">
      <c r="A439" s="470" t="s">
        <v>78</v>
      </c>
      <c r="B439" s="470"/>
      <c r="C439" s="470"/>
      <c r="D439" s="470"/>
      <c r="E439" s="470"/>
      <c r="F439" s="470"/>
      <c r="G439" s="471"/>
      <c r="H439" s="471"/>
      <c r="I439" s="2"/>
      <c r="K439" s="83"/>
    </row>
    <row r="440" spans="1:11" x14ac:dyDescent="0.25">
      <c r="A440" s="477" t="s">
        <v>269</v>
      </c>
      <c r="B440" s="478"/>
      <c r="C440" s="11" t="s">
        <v>80</v>
      </c>
      <c r="D440" s="240">
        <f>G400</f>
        <v>0.32</v>
      </c>
      <c r="E440" s="241">
        <f>IF(E161="Incluido IGV",F157,IF(AND(E161="Sin IGV"),H157))</f>
        <v>8.4745762711864412</v>
      </c>
      <c r="F440" s="242">
        <f>D440*E440</f>
        <v>2.7118644067796613</v>
      </c>
      <c r="G440" s="473" t="s">
        <v>24</v>
      </c>
      <c r="H440" s="475">
        <f>F440+F441+F442</f>
        <v>8.4280536161152551</v>
      </c>
      <c r="I440" s="2"/>
      <c r="K440" s="83"/>
    </row>
    <row r="441" spans="1:11" x14ac:dyDescent="0.25">
      <c r="A441" s="477" t="s">
        <v>79</v>
      </c>
      <c r="B441" s="478"/>
      <c r="C441" s="11" t="s">
        <v>80</v>
      </c>
      <c r="D441" s="240">
        <f>G402</f>
        <v>0.32</v>
      </c>
      <c r="E441" s="241">
        <f>IF(E161="Incluido IGV",F158,IF(AND(E161="Sin IGV"),H158))</f>
        <v>10.16949152542373</v>
      </c>
      <c r="F441" s="242">
        <f>D441*E441</f>
        <v>3.2542372881355939</v>
      </c>
      <c r="G441" s="519"/>
      <c r="H441" s="520"/>
      <c r="I441" s="2"/>
      <c r="K441" s="83"/>
    </row>
    <row r="442" spans="1:11" x14ac:dyDescent="0.25">
      <c r="A442" s="477" t="s">
        <v>81</v>
      </c>
      <c r="B442" s="478"/>
      <c r="C442" s="11" t="s">
        <v>82</v>
      </c>
      <c r="D442" s="86">
        <f>E131</f>
        <v>0.03</v>
      </c>
      <c r="E442" s="12">
        <f>H427</f>
        <v>82.065064039999982</v>
      </c>
      <c r="F442" s="12">
        <f>D442*E442</f>
        <v>2.4619519211999994</v>
      </c>
      <c r="G442" s="474"/>
      <c r="H442" s="476"/>
      <c r="I442" s="2"/>
      <c r="K442" s="83"/>
    </row>
    <row r="443" spans="1:11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11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11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11" x14ac:dyDescent="0.25">
      <c r="A446" s="495" t="s">
        <v>56</v>
      </c>
      <c r="B446" s="495"/>
      <c r="C446" s="239" t="s">
        <v>386</v>
      </c>
      <c r="D446" s="239"/>
      <c r="E446" s="239"/>
      <c r="F446" s="238"/>
      <c r="G446" s="2"/>
      <c r="H446" s="2"/>
      <c r="I446" s="2"/>
    </row>
    <row r="447" spans="1:11" ht="15.75" x14ac:dyDescent="0.25">
      <c r="A447" s="2"/>
      <c r="B447" s="2"/>
      <c r="C447" s="32" t="s">
        <v>57</v>
      </c>
      <c r="D447" s="68">
        <f>B113</f>
        <v>14</v>
      </c>
      <c r="E447" s="2" t="s">
        <v>313</v>
      </c>
      <c r="F447" s="2"/>
      <c r="G447" s="2"/>
      <c r="H447" s="2"/>
      <c r="I447" s="2"/>
    </row>
    <row r="448" spans="1:11" ht="15.75" x14ac:dyDescent="0.25">
      <c r="A448" s="2"/>
      <c r="B448" s="2"/>
      <c r="C448" s="32" t="s">
        <v>58</v>
      </c>
      <c r="D448" s="76" t="s">
        <v>314</v>
      </c>
      <c r="E448" s="2"/>
      <c r="F448" s="77"/>
      <c r="G448" s="77" t="s">
        <v>59</v>
      </c>
      <c r="H448" s="78">
        <f>H451+H456+H459</f>
        <v>43.478503491960048</v>
      </c>
      <c r="I448" s="2"/>
    </row>
    <row r="449" spans="1:11" x14ac:dyDescent="0.25">
      <c r="A449" s="497"/>
      <c r="B449" s="497"/>
      <c r="C449" s="26" t="s">
        <v>60</v>
      </c>
      <c r="D449" s="26" t="s">
        <v>61</v>
      </c>
      <c r="E449" s="26" t="s">
        <v>62</v>
      </c>
      <c r="F449" s="26" t="s">
        <v>63</v>
      </c>
      <c r="G449" s="497" t="s">
        <v>64</v>
      </c>
      <c r="H449" s="497"/>
      <c r="I449" s="2"/>
      <c r="K449" s="80"/>
    </row>
    <row r="450" spans="1:11" x14ac:dyDescent="0.25">
      <c r="A450" s="470" t="s">
        <v>65</v>
      </c>
      <c r="B450" s="470"/>
      <c r="C450" s="470"/>
      <c r="D450" s="470"/>
      <c r="E450" s="470"/>
      <c r="F450" s="470"/>
      <c r="G450" s="498"/>
      <c r="H450" s="498"/>
      <c r="I450" s="2"/>
    </row>
    <row r="451" spans="1:11" x14ac:dyDescent="0.25">
      <c r="A451" s="469" t="s">
        <v>66</v>
      </c>
      <c r="B451" s="469"/>
      <c r="C451" s="11" t="s">
        <v>67</v>
      </c>
      <c r="D451" s="81">
        <f>G367</f>
        <v>5.7142857142857148E-2</v>
      </c>
      <c r="E451" s="12">
        <f>IF(D195="SI",G184,IF(AND(D195="NO"),(E170*1.1)/8))</f>
        <v>26.646464625</v>
      </c>
      <c r="F451" s="82">
        <f>D451*E451</f>
        <v>1.5226551214285715</v>
      </c>
      <c r="G451" s="473" t="s">
        <v>24</v>
      </c>
      <c r="H451" s="475">
        <f>F451+F452+F453+F454</f>
        <v>26.29145476428571</v>
      </c>
      <c r="I451" s="2"/>
    </row>
    <row r="452" spans="1:11" x14ac:dyDescent="0.25">
      <c r="A452" s="469" t="s">
        <v>68</v>
      </c>
      <c r="B452" s="469"/>
      <c r="C452" s="11" t="s">
        <v>67</v>
      </c>
      <c r="D452" s="81">
        <f>G368</f>
        <v>0.5714285714285714</v>
      </c>
      <c r="E452" s="12">
        <f>IF(D195="SI",G185,IF(AND(D195="NO"),(E170/8)))</f>
        <v>24.224058749999998</v>
      </c>
      <c r="F452" s="82">
        <f>D452*E452</f>
        <v>13.842319285714284</v>
      </c>
      <c r="G452" s="519"/>
      <c r="H452" s="520"/>
      <c r="I452" s="2"/>
      <c r="J452" s="2"/>
    </row>
    <row r="453" spans="1:11" x14ac:dyDescent="0.25">
      <c r="A453" s="469" t="s">
        <v>69</v>
      </c>
      <c r="B453" s="469"/>
      <c r="C453" s="11" t="s">
        <v>67</v>
      </c>
      <c r="D453" s="81">
        <f>G369</f>
        <v>0.5714285714285714</v>
      </c>
      <c r="E453" s="12">
        <f>IF(D195="SI",G186,IF(AND(D195="NO"),(F170/8)))</f>
        <v>19.121340624999998</v>
      </c>
      <c r="F453" s="82">
        <f>D453*E453</f>
        <v>10.926480357142855</v>
      </c>
      <c r="G453" s="519"/>
      <c r="H453" s="520"/>
      <c r="I453" s="2"/>
    </row>
    <row r="454" spans="1:11" x14ac:dyDescent="0.25">
      <c r="A454" s="469" t="s">
        <v>70</v>
      </c>
      <c r="B454" s="469"/>
      <c r="C454" s="11" t="s">
        <v>67</v>
      </c>
      <c r="D454" s="81">
        <f>G370</f>
        <v>0</v>
      </c>
      <c r="E454" s="12">
        <f>IF(D195="SI",G187,IF(AND(D195="NO"),(G170/8)))</f>
        <v>17.283906249999998</v>
      </c>
      <c r="F454" s="82">
        <f>D454*E454</f>
        <v>0</v>
      </c>
      <c r="G454" s="474"/>
      <c r="H454" s="476"/>
      <c r="I454" s="2"/>
    </row>
    <row r="455" spans="1:11" x14ac:dyDescent="0.25">
      <c r="A455" s="470" t="s">
        <v>72</v>
      </c>
      <c r="B455" s="470"/>
      <c r="C455" s="470"/>
      <c r="D455" s="470"/>
      <c r="E455" s="470"/>
      <c r="F455" s="470"/>
      <c r="G455" s="471"/>
      <c r="H455" s="471"/>
      <c r="I455" s="2"/>
    </row>
    <row r="456" spans="1:11" ht="15.75" x14ac:dyDescent="0.25">
      <c r="A456" s="469" t="s">
        <v>270</v>
      </c>
      <c r="B456" s="469"/>
      <c r="C456" s="11" t="s">
        <v>315</v>
      </c>
      <c r="D456" s="12">
        <f>F258</f>
        <v>4.03</v>
      </c>
      <c r="E456" s="12">
        <f>IF(E161="Incluido IGV",F151,IF(AND(E161="Sin IGV"),H151))</f>
        <v>3.8135593220338984</v>
      </c>
      <c r="F456" s="82">
        <f>D456*E456</f>
        <v>15.368644067796611</v>
      </c>
      <c r="G456" s="473" t="s">
        <v>24</v>
      </c>
      <c r="H456" s="475">
        <f>F456+F457</f>
        <v>16.398305084745765</v>
      </c>
      <c r="I456" s="2"/>
      <c r="K456" s="246"/>
    </row>
    <row r="457" spans="1:11" x14ac:dyDescent="0.25">
      <c r="A457" s="469" t="s">
        <v>271</v>
      </c>
      <c r="B457" s="469"/>
      <c r="C457" s="11" t="s">
        <v>169</v>
      </c>
      <c r="D457" s="12">
        <f>F259</f>
        <v>0.15</v>
      </c>
      <c r="E457" s="12">
        <f>IF(E161="Incluido IGV",F152,IF(AND(E161="Sin IGV"),H152))</f>
        <v>6.8644067796610173</v>
      </c>
      <c r="F457" s="82">
        <f>D457*E457</f>
        <v>1.0296610169491525</v>
      </c>
      <c r="G457" s="474"/>
      <c r="H457" s="476"/>
      <c r="I457" s="2"/>
      <c r="K457" s="246"/>
    </row>
    <row r="458" spans="1:11" x14ac:dyDescent="0.25">
      <c r="A458" s="470" t="s">
        <v>78</v>
      </c>
      <c r="B458" s="470"/>
      <c r="C458" s="470"/>
      <c r="D458" s="470"/>
      <c r="E458" s="470"/>
      <c r="F458" s="470"/>
      <c r="G458" s="471"/>
      <c r="H458" s="471"/>
      <c r="I458" s="2"/>
      <c r="K458" s="246"/>
    </row>
    <row r="459" spans="1:11" x14ac:dyDescent="0.25">
      <c r="A459" s="477" t="s">
        <v>81</v>
      </c>
      <c r="B459" s="478"/>
      <c r="C459" s="11" t="s">
        <v>82</v>
      </c>
      <c r="D459" s="86">
        <f>E131</f>
        <v>0.03</v>
      </c>
      <c r="E459" s="12">
        <f>H451</f>
        <v>26.29145476428571</v>
      </c>
      <c r="F459" s="82">
        <f>D459*E459</f>
        <v>0.78874364292857124</v>
      </c>
      <c r="G459" s="243" t="s">
        <v>24</v>
      </c>
      <c r="H459" s="244">
        <f>F459</f>
        <v>0.78874364292857124</v>
      </c>
      <c r="I459" s="2"/>
      <c r="K459" s="246"/>
    </row>
    <row r="460" spans="1:11" x14ac:dyDescent="0.25">
      <c r="A460" s="2"/>
      <c r="B460" s="2"/>
      <c r="C460" s="2"/>
      <c r="D460" s="2"/>
      <c r="E460" s="2"/>
      <c r="F460" s="2"/>
      <c r="G460" s="2"/>
      <c r="H460" s="2"/>
      <c r="I460" s="2"/>
      <c r="K460" s="246"/>
    </row>
    <row r="461" spans="1:11" x14ac:dyDescent="0.25">
      <c r="A461" s="2"/>
      <c r="B461" s="2"/>
      <c r="C461" s="2"/>
      <c r="D461" s="2"/>
      <c r="E461" s="2"/>
      <c r="F461" s="2"/>
      <c r="G461" s="2"/>
      <c r="H461" s="2"/>
      <c r="I461" s="2"/>
      <c r="K461" s="246"/>
    </row>
    <row r="462" spans="1:11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11" x14ac:dyDescent="0.25">
      <c r="A463" s="495" t="s">
        <v>56</v>
      </c>
      <c r="B463" s="495"/>
      <c r="C463" s="239" t="s">
        <v>272</v>
      </c>
      <c r="D463" s="239"/>
      <c r="E463" s="239"/>
      <c r="F463" s="238"/>
      <c r="G463" s="2"/>
      <c r="H463" s="2"/>
      <c r="I463" s="2"/>
    </row>
    <row r="464" spans="1:11" x14ac:dyDescent="0.25">
      <c r="A464" s="2"/>
      <c r="B464" s="2"/>
      <c r="C464" s="32" t="s">
        <v>57</v>
      </c>
      <c r="D464" s="68">
        <f>B115</f>
        <v>250</v>
      </c>
      <c r="E464" s="2" t="s">
        <v>228</v>
      </c>
      <c r="F464" s="2"/>
      <c r="G464" s="2"/>
      <c r="H464" s="2"/>
      <c r="I464" s="2"/>
    </row>
    <row r="465" spans="1:19" x14ac:dyDescent="0.25">
      <c r="A465" s="2"/>
      <c r="B465" s="2"/>
      <c r="C465" s="32" t="s">
        <v>58</v>
      </c>
      <c r="D465" s="76" t="s">
        <v>169</v>
      </c>
      <c r="E465" s="2"/>
      <c r="F465" s="77"/>
      <c r="G465" s="77" t="s">
        <v>59</v>
      </c>
      <c r="H465" s="78">
        <f>H468+H473+H476</f>
        <v>6.9157076675702029</v>
      </c>
      <c r="I465" s="2"/>
    </row>
    <row r="466" spans="1:19" x14ac:dyDescent="0.25">
      <c r="A466" s="497"/>
      <c r="B466" s="497"/>
      <c r="C466" s="26" t="s">
        <v>60</v>
      </c>
      <c r="D466" s="26" t="s">
        <v>61</v>
      </c>
      <c r="E466" s="26" t="s">
        <v>62</v>
      </c>
      <c r="F466" s="26" t="s">
        <v>63</v>
      </c>
      <c r="G466" s="497" t="s">
        <v>64</v>
      </c>
      <c r="H466" s="497"/>
      <c r="I466" s="2"/>
      <c r="P466" s="288"/>
      <c r="Q466" s="288"/>
    </row>
    <row r="467" spans="1:19" x14ac:dyDescent="0.25">
      <c r="A467" s="470" t="s">
        <v>65</v>
      </c>
      <c r="B467" s="470"/>
      <c r="C467" s="470"/>
      <c r="D467" s="470"/>
      <c r="E467" s="470"/>
      <c r="F467" s="470"/>
      <c r="G467" s="498"/>
      <c r="H467" s="498"/>
      <c r="I467" s="2"/>
      <c r="P467" s="288"/>
      <c r="Q467" s="288"/>
    </row>
    <row r="468" spans="1:19" x14ac:dyDescent="0.25">
      <c r="A468" s="469" t="s">
        <v>66</v>
      </c>
      <c r="B468" s="469"/>
      <c r="C468" s="11" t="s">
        <v>67</v>
      </c>
      <c r="D468" s="81">
        <f>G377</f>
        <v>3.2000000000000002E-3</v>
      </c>
      <c r="E468" s="12">
        <f>IF(D195="SI",G184,IF(AND(D195="NO"),(E170*1.1)/8))</f>
        <v>26.646464625</v>
      </c>
      <c r="F468" s="82">
        <f>D468*E468</f>
        <v>8.5268686800000007E-2</v>
      </c>
      <c r="G468" s="473" t="s">
        <v>24</v>
      </c>
      <c r="H468" s="475">
        <f>F468+F469+F470+F471</f>
        <v>2.0254064667999998</v>
      </c>
      <c r="I468" s="2"/>
      <c r="K468" s="247"/>
      <c r="L468" s="289"/>
      <c r="M468" s="245"/>
      <c r="N468" s="152"/>
      <c r="P468" s="288"/>
      <c r="Q468" s="288"/>
    </row>
    <row r="469" spans="1:19" x14ac:dyDescent="0.25">
      <c r="A469" s="469" t="s">
        <v>68</v>
      </c>
      <c r="B469" s="469"/>
      <c r="C469" s="11" t="s">
        <v>67</v>
      </c>
      <c r="D469" s="81">
        <f>G378</f>
        <v>3.2000000000000001E-2</v>
      </c>
      <c r="E469" s="12">
        <f>IF(D195="SI",G185,IF(AND(D195="NO"),(E170/8)))</f>
        <v>24.224058749999998</v>
      </c>
      <c r="F469" s="82">
        <f>D469*E469</f>
        <v>0.77516987999999998</v>
      </c>
      <c r="G469" s="519"/>
      <c r="H469" s="520"/>
      <c r="I469" s="2"/>
      <c r="K469" s="245"/>
      <c r="L469" s="289"/>
      <c r="M469" s="245"/>
      <c r="N469" s="152"/>
      <c r="P469" s="288"/>
      <c r="Q469" s="288"/>
    </row>
    <row r="470" spans="1:19" x14ac:dyDescent="0.25">
      <c r="A470" s="469" t="s">
        <v>69</v>
      </c>
      <c r="B470" s="469"/>
      <c r="C470" s="11" t="s">
        <v>67</v>
      </c>
      <c r="D470" s="81">
        <f>G379</f>
        <v>3.2000000000000001E-2</v>
      </c>
      <c r="E470" s="12">
        <f>IF(D195="SI",G186,IF(AND(D195="NO"),(F170/8)))</f>
        <v>19.121340624999998</v>
      </c>
      <c r="F470" s="82">
        <f>D470*E470</f>
        <v>0.61188290000000001</v>
      </c>
      <c r="G470" s="519"/>
      <c r="H470" s="520"/>
      <c r="I470" s="2"/>
      <c r="K470" s="245"/>
      <c r="L470" s="289"/>
      <c r="M470" s="245"/>
      <c r="N470" s="152"/>
      <c r="P470" s="288"/>
      <c r="Q470" s="288"/>
    </row>
    <row r="471" spans="1:19" x14ac:dyDescent="0.25">
      <c r="A471" s="469" t="s">
        <v>70</v>
      </c>
      <c r="B471" s="469"/>
      <c r="C471" s="11" t="s">
        <v>67</v>
      </c>
      <c r="D471" s="81">
        <f>G380</f>
        <v>3.2000000000000001E-2</v>
      </c>
      <c r="E471" s="12">
        <f>IF(D195="SI",G187,IF(AND(D195="NO"),(G170/8)))</f>
        <v>17.283906249999998</v>
      </c>
      <c r="F471" s="82">
        <f>D471*E471</f>
        <v>0.55308499999999994</v>
      </c>
      <c r="G471" s="474"/>
      <c r="H471" s="476"/>
      <c r="I471" s="2"/>
      <c r="K471" s="245"/>
      <c r="L471" s="289"/>
      <c r="M471" s="245"/>
      <c r="N471" s="152"/>
      <c r="P471" s="288"/>
      <c r="Q471" s="288"/>
    </row>
    <row r="472" spans="1:19" x14ac:dyDescent="0.25">
      <c r="A472" s="470" t="s">
        <v>72</v>
      </c>
      <c r="B472" s="470"/>
      <c r="C472" s="470"/>
      <c r="D472" s="470"/>
      <c r="E472" s="470"/>
      <c r="F472" s="470"/>
      <c r="G472" s="471"/>
      <c r="H472" s="471"/>
      <c r="I472" s="2"/>
      <c r="R472" s="285"/>
      <c r="S472" s="285"/>
    </row>
    <row r="473" spans="1:19" x14ac:dyDescent="0.25">
      <c r="A473" s="469" t="s">
        <v>316</v>
      </c>
      <c r="B473" s="469"/>
      <c r="C473" s="11" t="s">
        <v>169</v>
      </c>
      <c r="D473" s="170">
        <f>F271</f>
        <v>1.0566666666666666</v>
      </c>
      <c r="E473" s="12">
        <f>IF(E161="Incluido IGV",((F146/(F281*H61))*((F281*F282*F275)/(F281*F282*F275+F281*F283*F276+F281*F284*F277+F281*F285*F278)))+((F147/(F281*H62))*((F281*F283*F276)/(F281*F282*F275+F281*F283*F276+F281*F284*F277+F281*F285*F278)))+((F148/(F281*H63))*((F281*F284*F277)/(F281*F282*F275+F281*F283*F276+F281*F284*F277+F281*F285*F278)))+((F149/(F281*H64))*((F281*F285*F278)/(F281*F282*F275+F281*F283*F276+F281*F284*F277+F281*F285*F278))),IF(AND(E161="Sin IGV"),((H146/(F281*H61))*((F281*F282*F275)/(F281*F282*F275+F281*F283*F276+F281*F284*F277+F281*F285*F278)))+((H147/(F281*H62))*((F281*F283*F276)/(F281*F282*F275+F281*F283*F276+F281*F284*F277+F281*F285*F278)))+((H148/(F281*H63))*((F281*F284*F277)/(F281*F282*F275+F281*F283*F276+F281*F284*F277+F281*F285*F278)))+((H149/(F281*H64))*((F281*F285*F278)/(F281*F282*F275+F281*F283*F276+F281*F284*F277+F281*F285*F278)))))</f>
        <v>4.2681837362862538</v>
      </c>
      <c r="F473" s="82">
        <f>D473*E473</f>
        <v>4.5100474813424745</v>
      </c>
      <c r="G473" s="473" t="s">
        <v>24</v>
      </c>
      <c r="H473" s="475">
        <f>F473+F474</f>
        <v>4.8295390067662032</v>
      </c>
      <c r="I473" s="2"/>
      <c r="J473" s="245"/>
      <c r="K473" s="54"/>
    </row>
    <row r="474" spans="1:19" x14ac:dyDescent="0.25">
      <c r="A474" s="469" t="s">
        <v>273</v>
      </c>
      <c r="B474" s="469"/>
      <c r="C474" s="11" t="s">
        <v>169</v>
      </c>
      <c r="D474" s="12">
        <f>F272</f>
        <v>0.05</v>
      </c>
      <c r="E474" s="12">
        <f>IF(E161="Incluido IGV",F150,IF(AND(E161="Sin IGV"),H150))</f>
        <v>6.389830508474577</v>
      </c>
      <c r="F474" s="82">
        <f>D474*E474</f>
        <v>0.31949152542372888</v>
      </c>
      <c r="G474" s="474"/>
      <c r="H474" s="476"/>
      <c r="I474" s="2"/>
      <c r="J474" s="245"/>
    </row>
    <row r="475" spans="1:19" x14ac:dyDescent="0.25">
      <c r="A475" s="470" t="s">
        <v>78</v>
      </c>
      <c r="B475" s="470"/>
      <c r="C475" s="470"/>
      <c r="D475" s="470"/>
      <c r="E475" s="470"/>
      <c r="F475" s="470"/>
      <c r="G475" s="471"/>
      <c r="H475" s="471"/>
      <c r="I475" s="2"/>
      <c r="J475" s="245"/>
    </row>
    <row r="476" spans="1:19" x14ac:dyDescent="0.25">
      <c r="A476" s="477" t="s">
        <v>81</v>
      </c>
      <c r="B476" s="478"/>
      <c r="C476" s="11" t="s">
        <v>82</v>
      </c>
      <c r="D476" s="86">
        <f>E131</f>
        <v>0.03</v>
      </c>
      <c r="E476" s="12">
        <f>H468</f>
        <v>2.0254064667999998</v>
      </c>
      <c r="F476" s="82">
        <f>D476*E476</f>
        <v>6.0762194003999993E-2</v>
      </c>
      <c r="G476" s="243" t="s">
        <v>24</v>
      </c>
      <c r="H476" s="244">
        <f>F476</f>
        <v>6.0762194003999993E-2</v>
      </c>
      <c r="I476" s="2"/>
      <c r="J476" s="245"/>
    </row>
    <row r="477" spans="1:19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47"/>
    </row>
    <row r="478" spans="1:19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47"/>
    </row>
    <row r="479" spans="1:19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47"/>
    </row>
    <row r="480" spans="1:19" x14ac:dyDescent="0.25">
      <c r="A480" s="495" t="s">
        <v>56</v>
      </c>
      <c r="B480" s="495"/>
      <c r="C480" s="496" t="s">
        <v>394</v>
      </c>
      <c r="D480" s="496"/>
      <c r="E480" s="496"/>
      <c r="F480" s="279">
        <f>F99</f>
        <v>10</v>
      </c>
      <c r="G480" s="277" t="s">
        <v>392</v>
      </c>
      <c r="H480" s="278" t="str">
        <f>F98</f>
        <v>1:12</v>
      </c>
      <c r="I480" s="2"/>
    </row>
    <row r="481" spans="1:11" ht="15.75" x14ac:dyDescent="0.25">
      <c r="A481" s="2"/>
      <c r="B481" s="2"/>
      <c r="C481" s="32" t="s">
        <v>57</v>
      </c>
      <c r="D481" s="68">
        <f>B117</f>
        <v>80</v>
      </c>
      <c r="E481" s="2" t="s">
        <v>393</v>
      </c>
      <c r="F481" s="2"/>
      <c r="G481" s="2"/>
      <c r="H481" s="2"/>
      <c r="I481" s="2"/>
    </row>
    <row r="482" spans="1:11" ht="15.75" x14ac:dyDescent="0.25">
      <c r="A482" s="2"/>
      <c r="B482" s="2"/>
      <c r="C482" s="32" t="s">
        <v>58</v>
      </c>
      <c r="D482" s="76" t="s">
        <v>314</v>
      </c>
      <c r="E482" s="2"/>
      <c r="F482" s="77"/>
      <c r="G482" s="77" t="s">
        <v>59</v>
      </c>
      <c r="H482" s="78">
        <f>H485+H491+H495</f>
        <v>34.397421580406778</v>
      </c>
      <c r="I482" s="2"/>
      <c r="J482" s="79"/>
    </row>
    <row r="483" spans="1:11" x14ac:dyDescent="0.25">
      <c r="A483" s="497"/>
      <c r="B483" s="497"/>
      <c r="C483" s="26" t="s">
        <v>60</v>
      </c>
      <c r="D483" s="26" t="s">
        <v>61</v>
      </c>
      <c r="E483" s="26" t="s">
        <v>62</v>
      </c>
      <c r="F483" s="26" t="s">
        <v>63</v>
      </c>
      <c r="G483" s="497" t="s">
        <v>64</v>
      </c>
      <c r="H483" s="497"/>
      <c r="I483" s="2"/>
      <c r="K483" s="80"/>
    </row>
    <row r="484" spans="1:11" x14ac:dyDescent="0.25">
      <c r="A484" s="470" t="s">
        <v>65</v>
      </c>
      <c r="B484" s="470"/>
      <c r="C484" s="470"/>
      <c r="D484" s="470"/>
      <c r="E484" s="470"/>
      <c r="F484" s="470"/>
      <c r="G484" s="498"/>
      <c r="H484" s="498"/>
      <c r="I484" s="2"/>
    </row>
    <row r="485" spans="1:11" x14ac:dyDescent="0.25">
      <c r="A485" s="469" t="s">
        <v>66</v>
      </c>
      <c r="B485" s="469"/>
      <c r="C485" s="11" t="s">
        <v>67</v>
      </c>
      <c r="D485" s="81">
        <f>G387</f>
        <v>0.02</v>
      </c>
      <c r="E485" s="12">
        <f>IF(D195="SI",G184,IF(AND(D195="NO"),(E170*1.1)/8))</f>
        <v>26.646464625</v>
      </c>
      <c r="F485" s="82">
        <f>D485*E485</f>
        <v>0.53292929249999998</v>
      </c>
      <c r="G485" s="473" t="s">
        <v>24</v>
      </c>
      <c r="H485" s="475">
        <f>F485+F486+F487+F488+F489</f>
        <v>20.276417199999997</v>
      </c>
      <c r="I485" s="2"/>
    </row>
    <row r="486" spans="1:11" x14ac:dyDescent="0.25">
      <c r="A486" s="469" t="s">
        <v>68</v>
      </c>
      <c r="B486" s="469"/>
      <c r="C486" s="11" t="s">
        <v>67</v>
      </c>
      <c r="D486" s="81">
        <f t="shared" ref="D486:D489" si="5">G388</f>
        <v>0.2</v>
      </c>
      <c r="E486" s="12">
        <f>IF(D195="SI",G185,IF(AND(D195="NO"),(E170/8)))</f>
        <v>24.224058749999998</v>
      </c>
      <c r="F486" s="82">
        <f t="shared" ref="F486:F489" si="6">D486*E486</f>
        <v>4.8448117499999999</v>
      </c>
      <c r="G486" s="519"/>
      <c r="H486" s="520"/>
      <c r="I486" s="2"/>
    </row>
    <row r="487" spans="1:11" x14ac:dyDescent="0.25">
      <c r="A487" s="469" t="s">
        <v>69</v>
      </c>
      <c r="B487" s="469"/>
      <c r="C487" s="11" t="s">
        <v>67</v>
      </c>
      <c r="D487" s="81">
        <f t="shared" si="5"/>
        <v>0.1</v>
      </c>
      <c r="E487" s="12">
        <f>IF(D195="SI",G186,IF(AND(D195="NO"),(F170/8)))</f>
        <v>19.121340624999998</v>
      </c>
      <c r="F487" s="82">
        <f t="shared" si="6"/>
        <v>1.9121340624999998</v>
      </c>
      <c r="G487" s="519"/>
      <c r="H487" s="520"/>
      <c r="I487" s="2"/>
    </row>
    <row r="488" spans="1:11" x14ac:dyDescent="0.25">
      <c r="A488" s="469" t="s">
        <v>70</v>
      </c>
      <c r="B488" s="469"/>
      <c r="C488" s="11" t="s">
        <v>67</v>
      </c>
      <c r="D488" s="81">
        <f t="shared" si="5"/>
        <v>0.6</v>
      </c>
      <c r="E488" s="12">
        <f>IF(D195="SI",G187,IF(AND(D195="NO"),(G170/8)))</f>
        <v>17.283906249999998</v>
      </c>
      <c r="F488" s="82">
        <f t="shared" si="6"/>
        <v>10.370343749999998</v>
      </c>
      <c r="G488" s="519"/>
      <c r="H488" s="520"/>
      <c r="I488" s="2"/>
    </row>
    <row r="489" spans="1:11" x14ac:dyDescent="0.25">
      <c r="A489" s="477" t="s">
        <v>71</v>
      </c>
      <c r="B489" s="478"/>
      <c r="C489" s="11" t="s">
        <v>67</v>
      </c>
      <c r="D489" s="81">
        <f t="shared" si="5"/>
        <v>0.1</v>
      </c>
      <c r="E489" s="12">
        <f>IF(D195="SI",G189,IF(AND(D195="NO"),((E170*1.08)/8)))</f>
        <v>26.161983449999997</v>
      </c>
      <c r="F489" s="82">
        <f t="shared" si="6"/>
        <v>2.6161983449999999</v>
      </c>
      <c r="G489" s="474"/>
      <c r="H489" s="476"/>
      <c r="I489" s="2"/>
    </row>
    <row r="490" spans="1:11" x14ac:dyDescent="0.25">
      <c r="A490" s="470" t="s">
        <v>72</v>
      </c>
      <c r="B490" s="470"/>
      <c r="C490" s="470"/>
      <c r="D490" s="470"/>
      <c r="E490" s="470"/>
      <c r="F490" s="470"/>
      <c r="G490" s="471"/>
      <c r="H490" s="471"/>
      <c r="I490" s="2"/>
    </row>
    <row r="491" spans="1:11" x14ac:dyDescent="0.25">
      <c r="A491" s="469" t="s">
        <v>73</v>
      </c>
      <c r="B491" s="469"/>
      <c r="C491" s="11" t="s">
        <v>74</v>
      </c>
      <c r="D491" s="81">
        <f>F326</f>
        <v>0.36000000000000004</v>
      </c>
      <c r="E491" s="12">
        <f>IF(E161="Incluido IGV",F139,IF(AND(E161="Sin IGV"),H139))</f>
        <v>18.64406779661017</v>
      </c>
      <c r="F491" s="82">
        <f>D491*E491</f>
        <v>6.7118644067796618</v>
      </c>
      <c r="G491" s="473" t="s">
        <v>24</v>
      </c>
      <c r="H491" s="475">
        <f>F491+F492+F493</f>
        <v>12.495762711864408</v>
      </c>
      <c r="I491" s="2"/>
    </row>
    <row r="492" spans="1:11" ht="15.75" x14ac:dyDescent="0.25">
      <c r="A492" s="469" t="s">
        <v>75</v>
      </c>
      <c r="B492" s="469"/>
      <c r="C492" s="11" t="s">
        <v>76</v>
      </c>
      <c r="D492" s="81">
        <f t="shared" ref="D492:D493" si="7">F327</f>
        <v>0.123</v>
      </c>
      <c r="E492" s="12">
        <f>IF(E161="Incluido IGV",F143,IF(AND(E161="Sin IGV"),H143))</f>
        <v>46.610169491525426</v>
      </c>
      <c r="F492" s="82">
        <f t="shared" ref="F492:F493" si="8">D492*E492</f>
        <v>5.7330508474576272</v>
      </c>
      <c r="G492" s="519"/>
      <c r="H492" s="520"/>
      <c r="I492" s="2"/>
      <c r="K492" s="83"/>
    </row>
    <row r="493" spans="1:11" ht="15.75" x14ac:dyDescent="0.25">
      <c r="A493" s="469" t="s">
        <v>77</v>
      </c>
      <c r="B493" s="469"/>
      <c r="C493" s="11" t="s">
        <v>76</v>
      </c>
      <c r="D493" s="81">
        <f t="shared" si="7"/>
        <v>1.2E-2</v>
      </c>
      <c r="E493" s="12">
        <f>IF(E161="Incluido IGV",F142,IF(AND(E161="Sin IGV"),H142))</f>
        <v>4.2372881355932206</v>
      </c>
      <c r="F493" s="82">
        <f t="shared" si="8"/>
        <v>5.0847457627118647E-2</v>
      </c>
      <c r="G493" s="474"/>
      <c r="H493" s="476"/>
      <c r="I493" s="2"/>
      <c r="K493" s="83"/>
    </row>
    <row r="494" spans="1:11" x14ac:dyDescent="0.25">
      <c r="A494" s="470" t="s">
        <v>78</v>
      </c>
      <c r="B494" s="470"/>
      <c r="C494" s="470"/>
      <c r="D494" s="470"/>
      <c r="E494" s="470"/>
      <c r="F494" s="470"/>
      <c r="G494" s="471"/>
      <c r="H494" s="471"/>
      <c r="I494" s="2"/>
      <c r="K494" s="83"/>
    </row>
    <row r="495" spans="1:11" x14ac:dyDescent="0.25">
      <c r="A495" s="472" t="s">
        <v>79</v>
      </c>
      <c r="B495" s="472"/>
      <c r="C495" s="11" t="s">
        <v>80</v>
      </c>
      <c r="D495" s="71">
        <f>G410</f>
        <v>0.1</v>
      </c>
      <c r="E495" s="84">
        <f>IF(E161="Incluido IGV",F158,IF(AND(E161="Sin IGV"),H158))</f>
        <v>10.16949152542373</v>
      </c>
      <c r="F495" s="85">
        <f>D495*E495</f>
        <v>1.0169491525423731</v>
      </c>
      <c r="G495" s="473" t="s">
        <v>24</v>
      </c>
      <c r="H495" s="475">
        <f>F495+F496</f>
        <v>1.625241668542373</v>
      </c>
      <c r="I495" s="2"/>
      <c r="K495" s="83"/>
    </row>
    <row r="496" spans="1:11" x14ac:dyDescent="0.25">
      <c r="A496" s="477" t="s">
        <v>81</v>
      </c>
      <c r="B496" s="478"/>
      <c r="C496" s="11" t="s">
        <v>82</v>
      </c>
      <c r="D496" s="86">
        <f>E131</f>
        <v>0.03</v>
      </c>
      <c r="E496" s="12">
        <f>H485</f>
        <v>20.276417199999997</v>
      </c>
      <c r="F496" s="82">
        <f>D496*E496</f>
        <v>0.60829251599999989</v>
      </c>
      <c r="G496" s="474"/>
      <c r="H496" s="476"/>
      <c r="I496" s="2"/>
      <c r="K496" s="83"/>
    </row>
    <row r="497" spans="1:12" x14ac:dyDescent="0.25">
      <c r="A497" s="99"/>
      <c r="B497" s="99"/>
      <c r="C497" s="68"/>
      <c r="D497" s="225"/>
      <c r="E497" s="179"/>
      <c r="F497" s="179"/>
      <c r="G497" s="280"/>
      <c r="H497" s="281"/>
      <c r="I497" s="2"/>
      <c r="K497" s="83"/>
    </row>
    <row r="498" spans="1:12" x14ac:dyDescent="0.25">
      <c r="A498" s="99"/>
      <c r="B498" s="99"/>
      <c r="C498" s="68"/>
      <c r="D498" s="225"/>
      <c r="E498" s="179"/>
      <c r="F498" s="179"/>
      <c r="G498" s="280"/>
      <c r="H498" s="281"/>
      <c r="I498" s="2"/>
      <c r="K498" s="83"/>
    </row>
    <row r="499" spans="1:12" x14ac:dyDescent="0.25">
      <c r="A499" s="99"/>
      <c r="B499" s="99"/>
      <c r="C499" s="68"/>
      <c r="D499" s="225"/>
      <c r="E499" s="179"/>
      <c r="F499" s="179"/>
      <c r="G499" s="280"/>
      <c r="H499" s="281"/>
      <c r="I499" s="2"/>
      <c r="K499" s="83"/>
    </row>
    <row r="500" spans="1:12" ht="15.75" x14ac:dyDescent="0.25">
      <c r="A500" s="291" t="s">
        <v>397</v>
      </c>
      <c r="B500" s="292"/>
      <c r="C500" s="292"/>
      <c r="D500" s="292"/>
      <c r="E500" s="190"/>
      <c r="F500" s="2"/>
      <c r="G500" s="2"/>
      <c r="H500" s="2"/>
      <c r="I500" s="2"/>
    </row>
    <row r="501" spans="1:12" ht="15.75" x14ac:dyDescent="0.25">
      <c r="A501" s="153"/>
      <c r="B501" s="153"/>
      <c r="C501" s="153"/>
      <c r="D501" s="153"/>
      <c r="E501" s="2"/>
      <c r="F501" s="2"/>
      <c r="G501" s="2"/>
      <c r="H501" s="2"/>
      <c r="I501" s="2"/>
    </row>
    <row r="502" spans="1:12" ht="15.75" customHeight="1" x14ac:dyDescent="0.25">
      <c r="A502" s="2"/>
      <c r="B502" s="2"/>
      <c r="C502" s="455" t="s">
        <v>171</v>
      </c>
      <c r="D502" s="455"/>
      <c r="E502" s="456" t="str">
        <f>E418</f>
        <v>MAYOR A 50 UIT</v>
      </c>
      <c r="F502" s="456"/>
      <c r="G502" s="31"/>
      <c r="H502" s="31"/>
      <c r="I502" s="31"/>
      <c r="J502" s="154"/>
    </row>
    <row r="503" spans="1:12" ht="15.75" customHeight="1" x14ac:dyDescent="0.25">
      <c r="A503" s="2"/>
      <c r="B503" s="2"/>
      <c r="C503" s="455" t="s">
        <v>172</v>
      </c>
      <c r="D503" s="455"/>
      <c r="E503" s="6" t="str">
        <f>E419</f>
        <v>SIN IGV</v>
      </c>
      <c r="F503" s="25"/>
      <c r="G503" s="2"/>
      <c r="H503" s="2"/>
      <c r="I503" s="2"/>
      <c r="K503" s="154"/>
      <c r="L503" s="154"/>
    </row>
    <row r="504" spans="1:12" ht="15.75" customHeight="1" x14ac:dyDescent="0.25">
      <c r="A504" s="2"/>
      <c r="B504" s="2"/>
      <c r="C504" s="77"/>
      <c r="D504" s="77"/>
      <c r="E504" s="4"/>
      <c r="F504" s="2"/>
      <c r="G504" s="2"/>
      <c r="H504" s="2"/>
      <c r="I504" s="2"/>
    </row>
    <row r="505" spans="1:12" x14ac:dyDescent="0.25">
      <c r="A505" s="2"/>
      <c r="B505" s="500" t="s">
        <v>46</v>
      </c>
      <c r="C505" s="501"/>
      <c r="D505" s="505" t="s">
        <v>60</v>
      </c>
      <c r="E505" s="504" t="s">
        <v>83</v>
      </c>
      <c r="F505" s="504" t="s">
        <v>84</v>
      </c>
      <c r="G505" s="458" t="s">
        <v>85</v>
      </c>
      <c r="H505" s="459"/>
      <c r="I505" s="2"/>
    </row>
    <row r="506" spans="1:12" x14ac:dyDescent="0.25">
      <c r="A506" s="2"/>
      <c r="B506" s="502"/>
      <c r="C506" s="503"/>
      <c r="D506" s="506"/>
      <c r="E506" s="504"/>
      <c r="F506" s="504"/>
      <c r="G506" s="616"/>
      <c r="H506" s="617"/>
      <c r="I506" s="2"/>
    </row>
    <row r="507" spans="1:12" x14ac:dyDescent="0.25">
      <c r="A507" s="2"/>
      <c r="B507" s="491" t="s">
        <v>384</v>
      </c>
      <c r="C507" s="492"/>
      <c r="D507" s="460" t="s">
        <v>317</v>
      </c>
      <c r="E507" s="463">
        <f>G208</f>
        <v>10</v>
      </c>
      <c r="F507" s="466">
        <f>H424</f>
        <v>330.89735494425094</v>
      </c>
      <c r="G507" s="485" t="s">
        <v>24</v>
      </c>
      <c r="H507" s="488">
        <f>E507*F507</f>
        <v>3308.9735494425095</v>
      </c>
      <c r="I507" s="2"/>
    </row>
    <row r="508" spans="1:12" x14ac:dyDescent="0.25">
      <c r="A508" s="2"/>
      <c r="B508" s="248" t="s">
        <v>318</v>
      </c>
      <c r="C508" s="249">
        <f>F422</f>
        <v>210</v>
      </c>
      <c r="D508" s="461"/>
      <c r="E508" s="464"/>
      <c r="F508" s="467"/>
      <c r="G508" s="486"/>
      <c r="H508" s="489"/>
      <c r="I508" s="2"/>
    </row>
    <row r="509" spans="1:12" x14ac:dyDescent="0.25">
      <c r="A509" s="2"/>
      <c r="B509" s="493" t="s">
        <v>319</v>
      </c>
      <c r="C509" s="494"/>
      <c r="D509" s="462"/>
      <c r="E509" s="465"/>
      <c r="F509" s="468"/>
      <c r="G509" s="487"/>
      <c r="H509" s="490"/>
      <c r="I509" s="2"/>
    </row>
    <row r="510" spans="1:12" x14ac:dyDescent="0.25">
      <c r="A510" s="2"/>
      <c r="B510" s="479" t="s">
        <v>386</v>
      </c>
      <c r="C510" s="480"/>
      <c r="D510" s="460" t="s">
        <v>314</v>
      </c>
      <c r="E510" s="463">
        <f>G209</f>
        <v>50</v>
      </c>
      <c r="F510" s="466">
        <f>H448</f>
        <v>43.478503491960048</v>
      </c>
      <c r="G510" s="485" t="s">
        <v>24</v>
      </c>
      <c r="H510" s="488">
        <f>E510*F510</f>
        <v>2173.9251745980023</v>
      </c>
      <c r="I510" s="2"/>
    </row>
    <row r="511" spans="1:12" x14ac:dyDescent="0.25">
      <c r="A511" s="2"/>
      <c r="B511" s="481"/>
      <c r="C511" s="482"/>
      <c r="D511" s="461"/>
      <c r="E511" s="464"/>
      <c r="F511" s="467"/>
      <c r="G511" s="486"/>
      <c r="H511" s="489"/>
      <c r="I511" s="2"/>
    </row>
    <row r="512" spans="1:12" x14ac:dyDescent="0.25">
      <c r="A512" s="2"/>
      <c r="B512" s="483"/>
      <c r="C512" s="484"/>
      <c r="D512" s="462"/>
      <c r="E512" s="465"/>
      <c r="F512" s="468"/>
      <c r="G512" s="487"/>
      <c r="H512" s="490"/>
      <c r="I512" s="2"/>
    </row>
    <row r="513" spans="1:12" x14ac:dyDescent="0.25">
      <c r="A513" s="2"/>
      <c r="B513" s="479" t="s">
        <v>274</v>
      </c>
      <c r="C513" s="480"/>
      <c r="D513" s="460" t="s">
        <v>169</v>
      </c>
      <c r="E513" s="463">
        <f>F281*F282*F275+F281*F283*F276+F281*F284*F277+F281*F285*F278</f>
        <v>450</v>
      </c>
      <c r="F513" s="466">
        <f>H465</f>
        <v>6.9157076675702029</v>
      </c>
      <c r="G513" s="485" t="s">
        <v>24</v>
      </c>
      <c r="H513" s="488">
        <f>E513*F513</f>
        <v>3112.0684504065912</v>
      </c>
      <c r="I513" s="2"/>
    </row>
    <row r="514" spans="1:12" x14ac:dyDescent="0.25">
      <c r="A514" s="2"/>
      <c r="B514" s="481"/>
      <c r="C514" s="482"/>
      <c r="D514" s="461"/>
      <c r="E514" s="464"/>
      <c r="F514" s="467"/>
      <c r="G514" s="486"/>
      <c r="H514" s="489"/>
      <c r="I514" s="2"/>
    </row>
    <row r="515" spans="1:12" x14ac:dyDescent="0.25">
      <c r="A515" s="2"/>
      <c r="B515" s="483"/>
      <c r="C515" s="484"/>
      <c r="D515" s="462"/>
      <c r="E515" s="465"/>
      <c r="F515" s="468"/>
      <c r="G515" s="487"/>
      <c r="H515" s="490"/>
      <c r="I515" s="2"/>
      <c r="J515" s="54"/>
    </row>
    <row r="516" spans="1:12" ht="15" customHeight="1" x14ac:dyDescent="0.25">
      <c r="A516" s="2"/>
      <c r="B516" s="479" t="s">
        <v>398</v>
      </c>
      <c r="C516" s="480"/>
      <c r="D516" s="460" t="s">
        <v>314</v>
      </c>
      <c r="E516" s="463">
        <f>G218</f>
        <v>115</v>
      </c>
      <c r="F516" s="466">
        <f>H482</f>
        <v>34.397421580406778</v>
      </c>
      <c r="G516" s="485" t="s">
        <v>24</v>
      </c>
      <c r="H516" s="488">
        <f>E516*F516</f>
        <v>3955.7034817467793</v>
      </c>
      <c r="I516" s="2"/>
    </row>
    <row r="517" spans="1:12" x14ac:dyDescent="0.25">
      <c r="A517" s="2"/>
      <c r="B517" s="293" t="s">
        <v>381</v>
      </c>
      <c r="C517" s="294">
        <f>F480</f>
        <v>10</v>
      </c>
      <c r="D517" s="461"/>
      <c r="E517" s="464"/>
      <c r="F517" s="467"/>
      <c r="G517" s="486"/>
      <c r="H517" s="489"/>
      <c r="I517" s="2"/>
    </row>
    <row r="518" spans="1:12" x14ac:dyDescent="0.25">
      <c r="A518" s="2"/>
      <c r="B518" s="296" t="s">
        <v>382</v>
      </c>
      <c r="C518" s="295" t="str">
        <f>H480</f>
        <v>1:12</v>
      </c>
      <c r="D518" s="462"/>
      <c r="E518" s="465"/>
      <c r="F518" s="468"/>
      <c r="G518" s="487"/>
      <c r="H518" s="490"/>
      <c r="I518" s="2"/>
      <c r="J518" s="54"/>
    </row>
    <row r="519" spans="1:12" x14ac:dyDescent="0.25">
      <c r="A519" s="2"/>
      <c r="B519" s="622" t="s">
        <v>399</v>
      </c>
      <c r="C519" s="623"/>
      <c r="D519" s="623"/>
      <c r="E519" s="623"/>
      <c r="F519" s="624"/>
      <c r="G519" s="618" t="s">
        <v>24</v>
      </c>
      <c r="H519" s="620">
        <f>H507+H510+H513+H516</f>
        <v>12550.670656193881</v>
      </c>
      <c r="I519" s="2"/>
    </row>
    <row r="520" spans="1:12" x14ac:dyDescent="0.25">
      <c r="A520" s="2"/>
      <c r="B520" s="87"/>
      <c r="C520" s="88"/>
      <c r="D520" s="88" t="s">
        <v>400</v>
      </c>
      <c r="E520" s="89" t="str">
        <f>E161</f>
        <v>Sin IGV</v>
      </c>
      <c r="F520" s="91"/>
      <c r="G520" s="619"/>
      <c r="H520" s="621"/>
      <c r="I520" s="2"/>
    </row>
    <row r="521" spans="1:12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12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12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12" ht="15.75" x14ac:dyDescent="0.25">
      <c r="A524" s="291" t="s">
        <v>401</v>
      </c>
      <c r="B524" s="292"/>
      <c r="C524" s="292"/>
      <c r="D524" s="292"/>
      <c r="E524" s="292"/>
      <c r="F524" s="190"/>
      <c r="G524" s="2"/>
      <c r="H524" s="2"/>
      <c r="I524" s="2"/>
    </row>
    <row r="525" spans="1:12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12" ht="15.75" customHeight="1" x14ac:dyDescent="0.25">
      <c r="A526" s="2"/>
      <c r="B526" s="2"/>
      <c r="C526" s="455" t="s">
        <v>171</v>
      </c>
      <c r="D526" s="455"/>
      <c r="E526" s="456" t="str">
        <f>E502</f>
        <v>MAYOR A 50 UIT</v>
      </c>
      <c r="F526" s="456"/>
      <c r="G526" s="31"/>
      <c r="H526" s="31"/>
      <c r="I526" s="31"/>
      <c r="J526" s="154"/>
    </row>
    <row r="527" spans="1:12" ht="15.75" customHeight="1" x14ac:dyDescent="0.25">
      <c r="A527" s="2"/>
      <c r="B527" s="2"/>
      <c r="C527" s="455" t="s">
        <v>172</v>
      </c>
      <c r="D527" s="455"/>
      <c r="E527" s="6" t="str">
        <f>E503</f>
        <v>SIN IGV</v>
      </c>
      <c r="F527" s="25"/>
      <c r="G527" s="2"/>
      <c r="H527" s="2"/>
      <c r="I527" s="2"/>
      <c r="K527" s="154"/>
      <c r="L527" s="154"/>
    </row>
    <row r="528" spans="1:12" ht="15.75" customHeight="1" x14ac:dyDescent="0.25">
      <c r="A528" s="2"/>
      <c r="B528" s="2"/>
      <c r="C528" s="77"/>
      <c r="D528" s="77"/>
      <c r="E528" s="4"/>
      <c r="F528" s="2"/>
      <c r="G528" s="2"/>
      <c r="H528" s="2"/>
      <c r="I528" s="2"/>
    </row>
    <row r="529" spans="1:10" ht="15" customHeight="1" x14ac:dyDescent="0.25">
      <c r="A529" s="2"/>
      <c r="B529" s="2"/>
      <c r="C529" s="448" t="s">
        <v>72</v>
      </c>
      <c r="D529" s="457"/>
      <c r="E529" s="458" t="s">
        <v>87</v>
      </c>
      <c r="F529" s="459"/>
      <c r="G529" s="2"/>
      <c r="H529" s="2"/>
      <c r="I529" s="2"/>
    </row>
    <row r="530" spans="1:10" x14ac:dyDescent="0.25">
      <c r="A530" s="2"/>
      <c r="B530" s="2"/>
      <c r="C530" s="446" t="s">
        <v>39</v>
      </c>
      <c r="D530" s="447"/>
      <c r="E530" s="92">
        <f>F248</f>
        <v>102.16500000000001</v>
      </c>
      <c r="F530" s="93" t="s">
        <v>35</v>
      </c>
      <c r="G530" s="2"/>
      <c r="H530" s="2"/>
      <c r="I530" s="2"/>
    </row>
    <row r="531" spans="1:10" ht="15.75" x14ac:dyDescent="0.25">
      <c r="A531" s="2"/>
      <c r="B531" s="2"/>
      <c r="C531" s="446" t="s">
        <v>236</v>
      </c>
      <c r="D531" s="447"/>
      <c r="E531" s="92">
        <f>F249</f>
        <v>5.46</v>
      </c>
      <c r="F531" s="93" t="s">
        <v>88</v>
      </c>
      <c r="G531" s="2"/>
      <c r="H531" s="2"/>
      <c r="I531" s="2"/>
    </row>
    <row r="532" spans="1:10" ht="15.75" x14ac:dyDescent="0.25">
      <c r="A532" s="2"/>
      <c r="B532" s="2"/>
      <c r="C532" s="446" t="s">
        <v>237</v>
      </c>
      <c r="D532" s="447"/>
      <c r="E532" s="92">
        <f>F250</f>
        <v>5.5650000000000004</v>
      </c>
      <c r="F532" s="93" t="s">
        <v>88</v>
      </c>
      <c r="G532" s="2"/>
      <c r="H532" s="2"/>
      <c r="I532" s="2"/>
    </row>
    <row r="533" spans="1:10" ht="15.75" x14ac:dyDescent="0.25">
      <c r="A533" s="2"/>
      <c r="B533" s="2"/>
      <c r="C533" s="446" t="s">
        <v>89</v>
      </c>
      <c r="D533" s="447"/>
      <c r="E533" s="250">
        <f>F251</f>
        <v>1.9529999999999998</v>
      </c>
      <c r="F533" s="95" t="s">
        <v>88</v>
      </c>
      <c r="G533" s="2"/>
      <c r="H533" s="2"/>
      <c r="I533" s="2"/>
    </row>
    <row r="534" spans="1:10" x14ac:dyDescent="0.25">
      <c r="A534" s="2"/>
      <c r="B534" s="2"/>
      <c r="C534" s="446" t="str">
        <f>IF(G51="NO","Gasolina de 84 octanos",IF(AND(G51="SI"),"-"))</f>
        <v>Gasolina de 84 octanos</v>
      </c>
      <c r="D534" s="447"/>
      <c r="E534" s="251">
        <f>IF(G51="NO",E48*E235,IF(AND(G51="SI"),"-"))</f>
        <v>3.15</v>
      </c>
      <c r="F534" s="95" t="str">
        <f>IF(G51="NO","galones",IF(AND(G51="SI"),"-"))</f>
        <v>galones</v>
      </c>
      <c r="G534" s="2"/>
      <c r="H534" s="2"/>
      <c r="I534" s="2"/>
    </row>
    <row r="535" spans="1:10" x14ac:dyDescent="0.25">
      <c r="A535" s="2"/>
      <c r="B535" s="2"/>
      <c r="C535" s="453" t="str">
        <f>IF(G52="NO","Grasa multipropósitos",IF(AND(G52="SI"),"-"))</f>
        <v>Grasa multipropósitos</v>
      </c>
      <c r="D535" s="454"/>
      <c r="E535" s="251">
        <f>IF(G52="NO",E49*E235,IF(AND(G52="SI"),"-"))</f>
        <v>8.4000000000000005E-2</v>
      </c>
      <c r="F535" s="95" t="str">
        <f>IF(G52="NO","kg",IF(AND(G52="SI"),"-"))</f>
        <v>kg</v>
      </c>
      <c r="G535" s="2"/>
      <c r="H535" s="2"/>
      <c r="I535" s="2"/>
    </row>
    <row r="536" spans="1:10" x14ac:dyDescent="0.25">
      <c r="A536" s="2"/>
      <c r="B536" s="2"/>
      <c r="C536" s="252" t="str">
        <f>IF(F70="SI","Acero de",IF(AND(F70="NO"),"-"))</f>
        <v>-</v>
      </c>
      <c r="D536" s="254" t="str">
        <f>IF(F70="SI","3/8""",IF(AND(F70="NO"),"-"))</f>
        <v>-</v>
      </c>
      <c r="E536" s="251" t="str">
        <f>IF(F70="SI",F294,IF(AND(F70="NO"),"-"))</f>
        <v>-</v>
      </c>
      <c r="F536" s="95" t="str">
        <f>IF(F70="SI","varillas",IF(AND(F70="NO"),"-"))</f>
        <v>-</v>
      </c>
      <c r="G536" s="2"/>
      <c r="H536" s="2"/>
      <c r="I536" s="2"/>
      <c r="J536" s="304"/>
    </row>
    <row r="537" spans="1:10" x14ac:dyDescent="0.25">
      <c r="A537" s="2"/>
      <c r="B537" s="2"/>
      <c r="C537" s="252" t="str">
        <f t="shared" ref="C537:C539" si="9">IF(F71="SI","Acero de",IF(AND(F71="NO"),"-"))</f>
        <v>Acero de</v>
      </c>
      <c r="D537" s="254" t="str">
        <f>IF(F71="SI","1/2""",IF(AND(F71="NO"),"-"))</f>
        <v>1/2"</v>
      </c>
      <c r="E537" s="251">
        <f t="shared" ref="E537:E539" si="10">IF(F71="SI",F295,IF(AND(F71="NO"),"-"))</f>
        <v>35.211267605633807</v>
      </c>
      <c r="F537" s="95" t="str">
        <f t="shared" ref="F537:F539" si="11">IF(F71="SI","varillas",IF(AND(F71="NO"),"-"))</f>
        <v>varillas</v>
      </c>
      <c r="G537" s="2"/>
      <c r="H537" s="2"/>
      <c r="I537" s="2"/>
      <c r="J537" s="304"/>
    </row>
    <row r="538" spans="1:10" x14ac:dyDescent="0.25">
      <c r="A538" s="2"/>
      <c r="B538" s="2"/>
      <c r="C538" s="252" t="str">
        <f t="shared" si="9"/>
        <v>Acero de</v>
      </c>
      <c r="D538" s="254" t="str">
        <f>IF(F72="SI","5/8""",IF(AND(F72="NO"),"-"))</f>
        <v>5/8"</v>
      </c>
      <c r="E538" s="251">
        <f t="shared" si="10"/>
        <v>11.490549828178693</v>
      </c>
      <c r="F538" s="95" t="str">
        <f t="shared" si="11"/>
        <v>varillas</v>
      </c>
      <c r="G538" s="2"/>
      <c r="H538" s="2"/>
      <c r="I538" s="2"/>
      <c r="J538" s="304"/>
    </row>
    <row r="539" spans="1:10" x14ac:dyDescent="0.25">
      <c r="A539" s="2"/>
      <c r="B539" s="2"/>
      <c r="C539" s="252" t="str">
        <f t="shared" si="9"/>
        <v>-</v>
      </c>
      <c r="D539" s="254" t="str">
        <f>IF(F73="SI","3/4""",IF(AND(F73="NO"),"-"))</f>
        <v>-</v>
      </c>
      <c r="E539" s="251" t="str">
        <f t="shared" si="10"/>
        <v>-</v>
      </c>
      <c r="F539" s="95" t="str">
        <f t="shared" si="11"/>
        <v>-</v>
      </c>
      <c r="G539" s="2"/>
      <c r="H539" s="2"/>
      <c r="I539" s="2"/>
      <c r="J539" s="304"/>
    </row>
    <row r="540" spans="1:10" x14ac:dyDescent="0.25">
      <c r="A540" s="2"/>
      <c r="B540" s="2"/>
      <c r="C540" s="446" t="s">
        <v>275</v>
      </c>
      <c r="D540" s="447"/>
      <c r="E540" s="251">
        <f t="shared" ref="E540" si="12">F298</f>
        <v>23.625</v>
      </c>
      <c r="F540" s="95" t="s">
        <v>169</v>
      </c>
      <c r="G540" s="2"/>
      <c r="H540" s="2"/>
      <c r="I540" s="2"/>
    </row>
    <row r="541" spans="1:10" ht="18.75" x14ac:dyDescent="0.3">
      <c r="A541" s="2"/>
      <c r="B541" s="2"/>
      <c r="C541" s="579" t="s">
        <v>239</v>
      </c>
      <c r="D541" s="629"/>
      <c r="E541" s="251">
        <f>F263</f>
        <v>211.57499999999999</v>
      </c>
      <c r="F541" s="95" t="s">
        <v>320</v>
      </c>
      <c r="G541" s="2"/>
      <c r="H541" s="2"/>
      <c r="I541" s="2"/>
    </row>
    <row r="542" spans="1:10" x14ac:dyDescent="0.25">
      <c r="A542" s="2"/>
      <c r="B542" s="2"/>
      <c r="C542" s="446" t="s">
        <v>240</v>
      </c>
      <c r="D542" s="447"/>
      <c r="E542" s="251">
        <f>F264</f>
        <v>7.875</v>
      </c>
      <c r="F542" s="95" t="s">
        <v>169</v>
      </c>
      <c r="G542" s="2"/>
      <c r="H542" s="2"/>
      <c r="I542" s="2"/>
    </row>
    <row r="543" spans="1:10" x14ac:dyDescent="0.25">
      <c r="A543" s="2"/>
      <c r="B543" s="2"/>
      <c r="C543" s="448" t="s">
        <v>65</v>
      </c>
      <c r="D543" s="449"/>
      <c r="E543" s="450" t="s">
        <v>87</v>
      </c>
      <c r="F543" s="451"/>
      <c r="G543" s="2"/>
      <c r="H543" s="2"/>
      <c r="I543" s="2"/>
    </row>
    <row r="544" spans="1:10" x14ac:dyDescent="0.25">
      <c r="A544" s="2"/>
      <c r="B544" s="2"/>
      <c r="C544" s="446" t="s">
        <v>11</v>
      </c>
      <c r="D544" s="447"/>
      <c r="E544" s="156">
        <f>G356*E507+G367*E510+G377*E513</f>
        <v>4.9371428571428577</v>
      </c>
      <c r="F544" s="157" t="s">
        <v>177</v>
      </c>
      <c r="G544" s="2"/>
      <c r="H544" s="2"/>
      <c r="I544" s="2"/>
    </row>
    <row r="545" spans="1:12" x14ac:dyDescent="0.25">
      <c r="A545" s="2"/>
      <c r="B545" s="2"/>
      <c r="C545" s="446" t="s">
        <v>12</v>
      </c>
      <c r="D545" s="447"/>
      <c r="E545" s="156">
        <f>G357*E507+G368*E510+G378*E513</f>
        <v>49.371428571428567</v>
      </c>
      <c r="F545" s="157" t="s">
        <v>177</v>
      </c>
      <c r="G545" s="2"/>
      <c r="H545" s="2"/>
      <c r="I545" s="2"/>
    </row>
    <row r="546" spans="1:12" x14ac:dyDescent="0.25">
      <c r="A546" s="2"/>
      <c r="B546" s="2"/>
      <c r="C546" s="446" t="s">
        <v>13</v>
      </c>
      <c r="D546" s="447"/>
      <c r="E546" s="156">
        <f>G358*E507+G369*E510+G379*E513</f>
        <v>49.371428571428567</v>
      </c>
      <c r="F546" s="157" t="s">
        <v>177</v>
      </c>
      <c r="G546" s="2"/>
      <c r="H546" s="2"/>
      <c r="I546" s="2"/>
    </row>
    <row r="547" spans="1:12" x14ac:dyDescent="0.25">
      <c r="A547" s="2"/>
      <c r="B547" s="2"/>
      <c r="C547" s="446" t="s">
        <v>14</v>
      </c>
      <c r="D547" s="447"/>
      <c r="E547" s="156">
        <f>G359*E507+G370*E510+G380*E513</f>
        <v>40</v>
      </c>
      <c r="F547" s="157" t="s">
        <v>177</v>
      </c>
      <c r="G547" s="2"/>
      <c r="H547" s="2"/>
      <c r="I547" s="2"/>
    </row>
    <row r="548" spans="1:12" x14ac:dyDescent="0.25">
      <c r="A548" s="2"/>
      <c r="B548" s="2"/>
      <c r="C548" s="446" t="s">
        <v>25</v>
      </c>
      <c r="D548" s="447"/>
      <c r="E548" s="156">
        <f>G360*E507</f>
        <v>3.2</v>
      </c>
      <c r="F548" s="157" t="s">
        <v>177</v>
      </c>
      <c r="G548" s="2"/>
      <c r="H548" s="2"/>
      <c r="I548" s="2"/>
    </row>
    <row r="549" spans="1:12" x14ac:dyDescent="0.25">
      <c r="A549" s="2"/>
      <c r="B549" s="2"/>
      <c r="C549" s="448" t="s">
        <v>277</v>
      </c>
      <c r="D549" s="449"/>
      <c r="E549" s="450" t="s">
        <v>87</v>
      </c>
      <c r="F549" s="451"/>
      <c r="G549" s="2"/>
      <c r="H549" s="2"/>
      <c r="I549" s="2"/>
    </row>
    <row r="550" spans="1:12" x14ac:dyDescent="0.25">
      <c r="A550" s="2"/>
      <c r="B550" s="2"/>
      <c r="C550" s="452" t="s">
        <v>241</v>
      </c>
      <c r="D550" s="534"/>
      <c r="E550" s="156">
        <f>G400*E507</f>
        <v>3.2</v>
      </c>
      <c r="F550" s="157" t="s">
        <v>178</v>
      </c>
      <c r="G550" s="2"/>
      <c r="H550" s="2"/>
      <c r="I550" s="2"/>
    </row>
    <row r="551" spans="1:12" x14ac:dyDescent="0.25">
      <c r="A551" s="2"/>
      <c r="B551" s="2"/>
      <c r="C551" s="452" t="s">
        <v>299</v>
      </c>
      <c r="D551" s="452"/>
      <c r="E551" s="156">
        <f>G402*E507</f>
        <v>3.2</v>
      </c>
      <c r="F551" s="157" t="s">
        <v>178</v>
      </c>
      <c r="G551" s="2"/>
      <c r="H551" s="2"/>
      <c r="I551" s="2"/>
    </row>
    <row r="552" spans="1:12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12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12" ht="15.75" x14ac:dyDescent="0.25">
      <c r="A554" s="291" t="s">
        <v>402</v>
      </c>
      <c r="B554" s="292"/>
      <c r="C554" s="292"/>
      <c r="D554" s="292"/>
      <c r="E554" s="292"/>
      <c r="F554" s="190"/>
      <c r="G554" s="2"/>
      <c r="H554" s="2"/>
      <c r="I554" s="2"/>
    </row>
    <row r="555" spans="1:12" ht="15.75" x14ac:dyDescent="0.25">
      <c r="A555" s="153"/>
      <c r="B555" s="153"/>
      <c r="C555" s="153"/>
      <c r="D555" s="153"/>
      <c r="E555" s="2"/>
      <c r="F555" s="2"/>
      <c r="G555" s="2"/>
      <c r="H555" s="2"/>
      <c r="I555" s="2"/>
    </row>
    <row r="556" spans="1:12" ht="15.75" customHeight="1" x14ac:dyDescent="0.25">
      <c r="A556" s="2"/>
      <c r="B556" s="2"/>
      <c r="C556" s="455" t="s">
        <v>171</v>
      </c>
      <c r="D556" s="455"/>
      <c r="E556" s="456" t="str">
        <f>E526</f>
        <v>MAYOR A 50 UIT</v>
      </c>
      <c r="F556" s="456"/>
      <c r="G556" s="31"/>
      <c r="H556" s="31"/>
      <c r="I556" s="31"/>
      <c r="J556" s="154"/>
    </row>
    <row r="557" spans="1:12" ht="15.75" customHeight="1" x14ac:dyDescent="0.25">
      <c r="A557" s="2"/>
      <c r="B557" s="2"/>
      <c r="C557" s="455" t="s">
        <v>172</v>
      </c>
      <c r="D557" s="455"/>
      <c r="E557" s="6" t="str">
        <f>E527</f>
        <v>SIN IGV</v>
      </c>
      <c r="F557" s="25"/>
      <c r="G557" s="2"/>
      <c r="H557" s="2"/>
      <c r="I557" s="2"/>
      <c r="K557" s="154"/>
      <c r="L557" s="154"/>
    </row>
    <row r="558" spans="1:12" ht="15.75" customHeight="1" x14ac:dyDescent="0.25">
      <c r="A558" s="2"/>
      <c r="B558" s="2"/>
      <c r="C558" s="77"/>
      <c r="D558" s="77"/>
      <c r="E558" s="4"/>
      <c r="F558" s="2"/>
      <c r="G558" s="2"/>
      <c r="H558" s="2"/>
      <c r="I558" s="2"/>
    </row>
    <row r="559" spans="1:12" ht="15" customHeight="1" x14ac:dyDescent="0.25">
      <c r="A559" s="2"/>
      <c r="B559" s="2"/>
      <c r="C559" s="448" t="s">
        <v>72</v>
      </c>
      <c r="D559" s="457"/>
      <c r="E559" s="458" t="s">
        <v>87</v>
      </c>
      <c r="F559" s="459"/>
      <c r="G559" s="2"/>
      <c r="H559" s="2"/>
      <c r="I559" s="2"/>
    </row>
    <row r="560" spans="1:12" x14ac:dyDescent="0.25">
      <c r="A560" s="2"/>
      <c r="B560" s="2"/>
      <c r="C560" s="446" t="s">
        <v>39</v>
      </c>
      <c r="D560" s="447"/>
      <c r="E560" s="92">
        <f>F340</f>
        <v>43.470000000000006</v>
      </c>
      <c r="F560" s="93" t="s">
        <v>35</v>
      </c>
      <c r="G560" s="2"/>
      <c r="H560" s="2"/>
      <c r="I560" s="2"/>
    </row>
    <row r="561" spans="1:9" ht="15.75" x14ac:dyDescent="0.25">
      <c r="A561" s="2"/>
      <c r="B561" s="2"/>
      <c r="C561" s="446" t="s">
        <v>40</v>
      </c>
      <c r="D561" s="447"/>
      <c r="E561" s="92">
        <f t="shared" ref="E561:E562" si="13">F341</f>
        <v>14.852249999999998</v>
      </c>
      <c r="F561" s="93" t="s">
        <v>88</v>
      </c>
      <c r="G561" s="2"/>
      <c r="H561" s="2"/>
      <c r="I561" s="2"/>
    </row>
    <row r="562" spans="1:9" ht="15.75" x14ac:dyDescent="0.25">
      <c r="A562" s="2"/>
      <c r="B562" s="2"/>
      <c r="C562" s="446" t="s">
        <v>89</v>
      </c>
      <c r="D562" s="447"/>
      <c r="E562" s="94">
        <f t="shared" si="13"/>
        <v>1.4490000000000001</v>
      </c>
      <c r="F562" s="95" t="s">
        <v>88</v>
      </c>
      <c r="G562" s="2"/>
      <c r="H562" s="2"/>
      <c r="I562" s="2"/>
    </row>
    <row r="563" spans="1:9" x14ac:dyDescent="0.25">
      <c r="A563" s="2"/>
      <c r="B563" s="2"/>
      <c r="C563" s="446" t="str">
        <f>IF(G51="NO","Gasolina de 84 octanos",IF(AND(G51="SI"),"-"))</f>
        <v>Gasolina de 84 octanos</v>
      </c>
      <c r="D563" s="447"/>
      <c r="E563" s="251">
        <f>IF(G51="NO",E48*F311,IF(AND(G51="SI"),"-"))</f>
        <v>3.6224999999999996</v>
      </c>
      <c r="F563" s="95" t="str">
        <f>IF(G51="NO","galones",IF(AND(G51="SI"),"-"))</f>
        <v>galones</v>
      </c>
      <c r="G563" s="2"/>
      <c r="H563" s="2"/>
      <c r="I563" s="2"/>
    </row>
    <row r="564" spans="1:9" x14ac:dyDescent="0.25">
      <c r="A564" s="2"/>
      <c r="B564" s="2"/>
      <c r="C564" s="453" t="str">
        <f>IF(G52="NO","Grasa multipropósitos",IF(AND(G52="SI"),"-"))</f>
        <v>Grasa multipropósitos</v>
      </c>
      <c r="D564" s="454"/>
      <c r="E564" s="251">
        <f>IF(G52="NO",E49*F311,IF(AND(G52="SI"),"-"))</f>
        <v>9.6599999999999991E-2</v>
      </c>
      <c r="F564" s="95" t="str">
        <f>IF(G52="NO","kg",IF(AND(G52="SI"),"-"))</f>
        <v>kg</v>
      </c>
      <c r="G564" s="2"/>
      <c r="H564" s="2"/>
      <c r="I564" s="2"/>
    </row>
    <row r="565" spans="1:9" x14ac:dyDescent="0.25">
      <c r="A565" s="2"/>
      <c r="B565" s="2"/>
      <c r="C565" s="448" t="s">
        <v>65</v>
      </c>
      <c r="D565" s="449"/>
      <c r="E565" s="450" t="s">
        <v>87</v>
      </c>
      <c r="F565" s="451"/>
      <c r="G565" s="2"/>
      <c r="H565" s="2"/>
      <c r="I565" s="2"/>
    </row>
    <row r="566" spans="1:9" x14ac:dyDescent="0.25">
      <c r="A566" s="2"/>
      <c r="B566" s="2"/>
      <c r="C566" s="446" t="s">
        <v>11</v>
      </c>
      <c r="D566" s="447"/>
      <c r="E566" s="156">
        <f>G387*E516</f>
        <v>2.3000000000000003</v>
      </c>
      <c r="F566" s="157" t="s">
        <v>177</v>
      </c>
      <c r="G566" s="2"/>
      <c r="H566" s="2"/>
      <c r="I566" s="2"/>
    </row>
    <row r="567" spans="1:9" x14ac:dyDescent="0.25">
      <c r="A567" s="2"/>
      <c r="B567" s="2"/>
      <c r="C567" s="446" t="s">
        <v>12</v>
      </c>
      <c r="D567" s="447"/>
      <c r="E567" s="156">
        <f>G388*E516</f>
        <v>23</v>
      </c>
      <c r="F567" s="157" t="s">
        <v>177</v>
      </c>
      <c r="G567" s="2"/>
      <c r="H567" s="2"/>
      <c r="I567" s="2"/>
    </row>
    <row r="568" spans="1:9" x14ac:dyDescent="0.25">
      <c r="A568" s="2"/>
      <c r="B568" s="2"/>
      <c r="C568" s="446" t="s">
        <v>13</v>
      </c>
      <c r="D568" s="447"/>
      <c r="E568" s="156">
        <f>G389*E516</f>
        <v>11.5</v>
      </c>
      <c r="F568" s="157" t="s">
        <v>177</v>
      </c>
      <c r="G568" s="2"/>
      <c r="H568" s="2"/>
      <c r="I568" s="2"/>
    </row>
    <row r="569" spans="1:9" x14ac:dyDescent="0.25">
      <c r="A569" s="2"/>
      <c r="B569" s="2"/>
      <c r="C569" s="446" t="s">
        <v>14</v>
      </c>
      <c r="D569" s="447"/>
      <c r="E569" s="156">
        <f>G390*E516</f>
        <v>69</v>
      </c>
      <c r="F569" s="157" t="s">
        <v>177</v>
      </c>
      <c r="G569" s="2"/>
      <c r="H569" s="2"/>
      <c r="I569" s="2"/>
    </row>
    <row r="570" spans="1:9" x14ac:dyDescent="0.25">
      <c r="A570" s="2"/>
      <c r="B570" s="2"/>
      <c r="C570" s="446" t="s">
        <v>25</v>
      </c>
      <c r="D570" s="447"/>
      <c r="E570" s="156">
        <f>G391*E516</f>
        <v>11.5</v>
      </c>
      <c r="F570" s="157" t="s">
        <v>177</v>
      </c>
      <c r="G570" s="2"/>
      <c r="H570" s="2"/>
      <c r="I570" s="2"/>
    </row>
    <row r="571" spans="1:9" x14ac:dyDescent="0.25">
      <c r="A571" s="2"/>
      <c r="B571" s="2"/>
      <c r="C571" s="448" t="s">
        <v>277</v>
      </c>
      <c r="D571" s="449"/>
      <c r="E571" s="450" t="s">
        <v>87</v>
      </c>
      <c r="F571" s="451"/>
      <c r="G571" s="2"/>
      <c r="H571" s="2"/>
      <c r="I571" s="2"/>
    </row>
    <row r="572" spans="1:9" x14ac:dyDescent="0.25">
      <c r="A572" s="2"/>
      <c r="B572" s="2"/>
      <c r="C572" s="452" t="s">
        <v>299</v>
      </c>
      <c r="D572" s="452"/>
      <c r="E572" s="156">
        <f>G410*E516</f>
        <v>11.5</v>
      </c>
      <c r="F572" s="157" t="s">
        <v>178</v>
      </c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</sheetData>
  <mergeCells count="362">
    <mergeCell ref="A1:I2"/>
    <mergeCell ref="C418:D418"/>
    <mergeCell ref="E418:F418"/>
    <mergeCell ref="C419:D419"/>
    <mergeCell ref="B189:D189"/>
    <mergeCell ref="B190:D190"/>
    <mergeCell ref="B191:G191"/>
    <mergeCell ref="B195:C195"/>
    <mergeCell ref="E195:F196"/>
    <mergeCell ref="B176:C176"/>
    <mergeCell ref="B177:D177"/>
    <mergeCell ref="B178:D178"/>
    <mergeCell ref="B179:D179"/>
    <mergeCell ref="B180:D180"/>
    <mergeCell ref="B181:D181"/>
    <mergeCell ref="C400:D401"/>
    <mergeCell ref="E400:E401"/>
    <mergeCell ref="F400:F401"/>
    <mergeCell ref="G400:G401"/>
    <mergeCell ref="E402:E403"/>
    <mergeCell ref="F402:F403"/>
    <mergeCell ref="G402:G403"/>
    <mergeCell ref="C403:D403"/>
    <mergeCell ref="C377:D380"/>
    <mergeCell ref="C397:D397"/>
    <mergeCell ref="A117:A118"/>
    <mergeCell ref="B117:B118"/>
    <mergeCell ref="C117:C118"/>
    <mergeCell ref="D117:D118"/>
    <mergeCell ref="E117:E118"/>
    <mergeCell ref="F117:F118"/>
    <mergeCell ref="C550:D550"/>
    <mergeCell ref="C551:D551"/>
    <mergeCell ref="C91:C92"/>
    <mergeCell ref="D91:D92"/>
    <mergeCell ref="E91:G91"/>
    <mergeCell ref="B93:B96"/>
    <mergeCell ref="B101:B103"/>
    <mergeCell ref="G117:G118"/>
    <mergeCell ref="C545:D545"/>
    <mergeCell ref="C546:D546"/>
    <mergeCell ref="C547:D547"/>
    <mergeCell ref="C548:D548"/>
    <mergeCell ref="C549:D549"/>
    <mergeCell ref="E549:F549"/>
    <mergeCell ref="C541:D541"/>
    <mergeCell ref="C542:D542"/>
    <mergeCell ref="C543:D543"/>
    <mergeCell ref="B156:C156"/>
    <mergeCell ref="G519:G520"/>
    <mergeCell ref="H519:H520"/>
    <mergeCell ref="C529:D529"/>
    <mergeCell ref="E529:F529"/>
    <mergeCell ref="C530:D530"/>
    <mergeCell ref="B513:C515"/>
    <mergeCell ref="D513:D515"/>
    <mergeCell ref="E513:E515"/>
    <mergeCell ref="F513:F515"/>
    <mergeCell ref="G513:G515"/>
    <mergeCell ref="H513:H515"/>
    <mergeCell ref="C526:D526"/>
    <mergeCell ref="E526:F526"/>
    <mergeCell ref="C527:D527"/>
    <mergeCell ref="B519:F519"/>
    <mergeCell ref="G516:G518"/>
    <mergeCell ref="H516:H518"/>
    <mergeCell ref="B516:C516"/>
    <mergeCell ref="A476:B476"/>
    <mergeCell ref="B505:C506"/>
    <mergeCell ref="D505:D506"/>
    <mergeCell ref="E505:E506"/>
    <mergeCell ref="F505:F506"/>
    <mergeCell ref="G505:H506"/>
    <mergeCell ref="A472:H472"/>
    <mergeCell ref="A473:B473"/>
    <mergeCell ref="G473:G474"/>
    <mergeCell ref="H473:H474"/>
    <mergeCell ref="A474:B474"/>
    <mergeCell ref="A475:H475"/>
    <mergeCell ref="A485:B485"/>
    <mergeCell ref="G485:G489"/>
    <mergeCell ref="H485:H489"/>
    <mergeCell ref="A486:B486"/>
    <mergeCell ref="A487:B487"/>
    <mergeCell ref="A488:B488"/>
    <mergeCell ref="A489:B489"/>
    <mergeCell ref="A490:H490"/>
    <mergeCell ref="A491:B491"/>
    <mergeCell ref="G491:G493"/>
    <mergeCell ref="H491:H493"/>
    <mergeCell ref="A492:B492"/>
    <mergeCell ref="A468:B468"/>
    <mergeCell ref="G468:G471"/>
    <mergeCell ref="H468:H471"/>
    <mergeCell ref="A469:B469"/>
    <mergeCell ref="A470:B470"/>
    <mergeCell ref="A471:B471"/>
    <mergeCell ref="A458:H458"/>
    <mergeCell ref="A459:B459"/>
    <mergeCell ref="A463:B463"/>
    <mergeCell ref="A466:B466"/>
    <mergeCell ref="G466:H466"/>
    <mergeCell ref="A467:H467"/>
    <mergeCell ref="A455:H455"/>
    <mergeCell ref="A456:B456"/>
    <mergeCell ref="G456:G457"/>
    <mergeCell ref="H456:H457"/>
    <mergeCell ref="A457:B457"/>
    <mergeCell ref="A446:B446"/>
    <mergeCell ref="A449:B449"/>
    <mergeCell ref="G449:H449"/>
    <mergeCell ref="A450:H450"/>
    <mergeCell ref="A451:B451"/>
    <mergeCell ref="G451:G454"/>
    <mergeCell ref="H451:H454"/>
    <mergeCell ref="A452:B452"/>
    <mergeCell ref="A453:B453"/>
    <mergeCell ref="A454:B454"/>
    <mergeCell ref="A438:B438"/>
    <mergeCell ref="A439:H439"/>
    <mergeCell ref="A440:B440"/>
    <mergeCell ref="G440:G442"/>
    <mergeCell ref="H440:H442"/>
    <mergeCell ref="A441:B441"/>
    <mergeCell ref="A442:B442"/>
    <mergeCell ref="A430:B430"/>
    <mergeCell ref="A431:B431"/>
    <mergeCell ref="A432:H432"/>
    <mergeCell ref="A433:B433"/>
    <mergeCell ref="G433:G438"/>
    <mergeCell ref="H433:H438"/>
    <mergeCell ref="A434:B434"/>
    <mergeCell ref="A435:B435"/>
    <mergeCell ref="A436:B436"/>
    <mergeCell ref="A437:B437"/>
    <mergeCell ref="C398:D399"/>
    <mergeCell ref="E398:E399"/>
    <mergeCell ref="F398:F399"/>
    <mergeCell ref="G398:G399"/>
    <mergeCell ref="C384:D384"/>
    <mergeCell ref="C385:D386"/>
    <mergeCell ref="E385:E386"/>
    <mergeCell ref="F385:F386"/>
    <mergeCell ref="G385:G386"/>
    <mergeCell ref="C387:D388"/>
    <mergeCell ref="C367:D370"/>
    <mergeCell ref="C374:D374"/>
    <mergeCell ref="C375:D376"/>
    <mergeCell ref="E375:E376"/>
    <mergeCell ref="F375:F376"/>
    <mergeCell ref="G375:G376"/>
    <mergeCell ref="G354:G355"/>
    <mergeCell ref="C356:D357"/>
    <mergeCell ref="C359:D359"/>
    <mergeCell ref="C360:D360"/>
    <mergeCell ref="C364:D364"/>
    <mergeCell ref="C365:D366"/>
    <mergeCell ref="E365:E366"/>
    <mergeCell ref="F365:F366"/>
    <mergeCell ref="G365:G366"/>
    <mergeCell ref="A346:D346"/>
    <mergeCell ref="D350:E350"/>
    <mergeCell ref="C353:D353"/>
    <mergeCell ref="C354:D355"/>
    <mergeCell ref="E354:E355"/>
    <mergeCell ref="F354:F355"/>
    <mergeCell ref="C294:D294"/>
    <mergeCell ref="C295:D295"/>
    <mergeCell ref="C296:D296"/>
    <mergeCell ref="C297:D297"/>
    <mergeCell ref="C298:D298"/>
    <mergeCell ref="D305:E305"/>
    <mergeCell ref="C306:E306"/>
    <mergeCell ref="C311:E311"/>
    <mergeCell ref="F317:H317"/>
    <mergeCell ref="C322:E322"/>
    <mergeCell ref="C319:D319"/>
    <mergeCell ref="C276:D276"/>
    <mergeCell ref="C277:D277"/>
    <mergeCell ref="C278:D278"/>
    <mergeCell ref="C282:D282"/>
    <mergeCell ref="D262:E262"/>
    <mergeCell ref="C270:G270"/>
    <mergeCell ref="C272:D272"/>
    <mergeCell ref="C274:G274"/>
    <mergeCell ref="B289:H289"/>
    <mergeCell ref="C283:D283"/>
    <mergeCell ref="C284:D284"/>
    <mergeCell ref="C285:D285"/>
    <mergeCell ref="C235:D235"/>
    <mergeCell ref="C239:E239"/>
    <mergeCell ref="B246:H246"/>
    <mergeCell ref="C257:G257"/>
    <mergeCell ref="B261:H261"/>
    <mergeCell ref="A223:C223"/>
    <mergeCell ref="C231:D231"/>
    <mergeCell ref="B233:G233"/>
    <mergeCell ref="C275:D275"/>
    <mergeCell ref="G202:H204"/>
    <mergeCell ref="C212:D212"/>
    <mergeCell ref="C213:D213"/>
    <mergeCell ref="C214:D214"/>
    <mergeCell ref="C215:D215"/>
    <mergeCell ref="C234:E234"/>
    <mergeCell ref="B161:D161"/>
    <mergeCell ref="F161:G162"/>
    <mergeCell ref="D134:G134"/>
    <mergeCell ref="B167:G167"/>
    <mergeCell ref="B168:G168"/>
    <mergeCell ref="B138:C138"/>
    <mergeCell ref="E138:F138"/>
    <mergeCell ref="G138:H138"/>
    <mergeCell ref="B139:C139"/>
    <mergeCell ref="B140:C140"/>
    <mergeCell ref="B150:C150"/>
    <mergeCell ref="B151:C151"/>
    <mergeCell ref="B152:C152"/>
    <mergeCell ref="B183:G183"/>
    <mergeCell ref="B211:B215"/>
    <mergeCell ref="E156:F156"/>
    <mergeCell ref="G156:H156"/>
    <mergeCell ref="B157:C157"/>
    <mergeCell ref="A115:A116"/>
    <mergeCell ref="B115:B116"/>
    <mergeCell ref="C115:C116"/>
    <mergeCell ref="D115:D116"/>
    <mergeCell ref="E115:E116"/>
    <mergeCell ref="F115:F116"/>
    <mergeCell ref="G111:G112"/>
    <mergeCell ref="H111:H112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A111:A112"/>
    <mergeCell ref="B111:B112"/>
    <mergeCell ref="C111:C112"/>
    <mergeCell ref="D111:D112"/>
    <mergeCell ref="E111:E112"/>
    <mergeCell ref="F111:F112"/>
    <mergeCell ref="G115:G116"/>
    <mergeCell ref="H115:H116"/>
    <mergeCell ref="A14:C14"/>
    <mergeCell ref="C24:H24"/>
    <mergeCell ref="C25:C26"/>
    <mergeCell ref="D25:D26"/>
    <mergeCell ref="E25:H25"/>
    <mergeCell ref="A109:A110"/>
    <mergeCell ref="B109:C110"/>
    <mergeCell ref="D109:H109"/>
    <mergeCell ref="F67:H68"/>
    <mergeCell ref="D70:E70"/>
    <mergeCell ref="D71:E71"/>
    <mergeCell ref="D72:E72"/>
    <mergeCell ref="D73:E73"/>
    <mergeCell ref="B65:B70"/>
    <mergeCell ref="H51:I52"/>
    <mergeCell ref="H76:H79"/>
    <mergeCell ref="H82:H85"/>
    <mergeCell ref="B108:G108"/>
    <mergeCell ref="B29:B35"/>
    <mergeCell ref="G34:H35"/>
    <mergeCell ref="C58:H58"/>
    <mergeCell ref="C59:C60"/>
    <mergeCell ref="D59:E59"/>
    <mergeCell ref="F59:H59"/>
    <mergeCell ref="B42:B44"/>
    <mergeCell ref="G48:H49"/>
    <mergeCell ref="B169:D169"/>
    <mergeCell ref="B170:D170"/>
    <mergeCell ref="B171:D171"/>
    <mergeCell ref="B175:C175"/>
    <mergeCell ref="B141:C141"/>
    <mergeCell ref="B142:C142"/>
    <mergeCell ref="B144:C144"/>
    <mergeCell ref="B145:C145"/>
    <mergeCell ref="G131:H131"/>
    <mergeCell ref="B143:C143"/>
    <mergeCell ref="H117:H118"/>
    <mergeCell ref="H125:H128"/>
    <mergeCell ref="B158:C158"/>
    <mergeCell ref="A480:B480"/>
    <mergeCell ref="C480:E480"/>
    <mergeCell ref="A483:B483"/>
    <mergeCell ref="G483:H483"/>
    <mergeCell ref="A484:H484"/>
    <mergeCell ref="C407:D407"/>
    <mergeCell ref="C408:D409"/>
    <mergeCell ref="E408:E409"/>
    <mergeCell ref="F408:F409"/>
    <mergeCell ref="G408:G409"/>
    <mergeCell ref="C410:D411"/>
    <mergeCell ref="E410:E411"/>
    <mergeCell ref="F410:F411"/>
    <mergeCell ref="G410:G411"/>
    <mergeCell ref="A422:B422"/>
    <mergeCell ref="C422:E422"/>
    <mergeCell ref="A425:B425"/>
    <mergeCell ref="G425:H425"/>
    <mergeCell ref="A426:H426"/>
    <mergeCell ref="A427:B427"/>
    <mergeCell ref="G427:G431"/>
    <mergeCell ref="H427:H431"/>
    <mergeCell ref="A428:B428"/>
    <mergeCell ref="A429:B429"/>
    <mergeCell ref="A493:B493"/>
    <mergeCell ref="A494:H494"/>
    <mergeCell ref="A495:B495"/>
    <mergeCell ref="G495:G496"/>
    <mergeCell ref="H495:H496"/>
    <mergeCell ref="A496:B496"/>
    <mergeCell ref="B510:C512"/>
    <mergeCell ref="D510:D512"/>
    <mergeCell ref="E510:E512"/>
    <mergeCell ref="F510:F512"/>
    <mergeCell ref="G510:G512"/>
    <mergeCell ref="H510:H512"/>
    <mergeCell ref="B507:C507"/>
    <mergeCell ref="D507:D509"/>
    <mergeCell ref="E507:E509"/>
    <mergeCell ref="F507:F509"/>
    <mergeCell ref="G507:G509"/>
    <mergeCell ref="H507:H509"/>
    <mergeCell ref="B509:C509"/>
    <mergeCell ref="C556:D556"/>
    <mergeCell ref="E556:F556"/>
    <mergeCell ref="C557:D557"/>
    <mergeCell ref="C559:D559"/>
    <mergeCell ref="E559:F559"/>
    <mergeCell ref="C560:D560"/>
    <mergeCell ref="C561:D561"/>
    <mergeCell ref="C562:D562"/>
    <mergeCell ref="C502:D502"/>
    <mergeCell ref="E502:F502"/>
    <mergeCell ref="C503:D503"/>
    <mergeCell ref="D516:D518"/>
    <mergeCell ref="E516:E518"/>
    <mergeCell ref="F516:F518"/>
    <mergeCell ref="E543:F543"/>
    <mergeCell ref="C544:D544"/>
    <mergeCell ref="C531:D531"/>
    <mergeCell ref="C532:D532"/>
    <mergeCell ref="C533:D533"/>
    <mergeCell ref="C534:D534"/>
    <mergeCell ref="C535:D535"/>
    <mergeCell ref="C540:D540"/>
    <mergeCell ref="C566:D566"/>
    <mergeCell ref="C567:D567"/>
    <mergeCell ref="C568:D568"/>
    <mergeCell ref="C569:D569"/>
    <mergeCell ref="C570:D570"/>
    <mergeCell ref="C571:D571"/>
    <mergeCell ref="E571:F571"/>
    <mergeCell ref="C572:D572"/>
    <mergeCell ref="C563:D563"/>
    <mergeCell ref="C564:D564"/>
    <mergeCell ref="C565:D565"/>
    <mergeCell ref="E565:F565"/>
  </mergeCells>
  <dataValidations count="7">
    <dataValidation type="list" allowBlank="1" showInputMessage="1" showErrorMessage="1" sqref="E34" xr:uid="{00000000-0002-0000-0000-000000000000}">
      <formula1>$C$27:$C$31</formula1>
    </dataValidation>
    <dataValidation type="list" allowBlank="1" showInputMessage="1" showErrorMessage="1" sqref="F126:F127" xr:uid="{00000000-0002-0000-0000-000001000000}">
      <formula1>$B$126:$B$128</formula1>
    </dataValidation>
    <dataValidation type="list" allowBlank="1" showInputMessage="1" showErrorMessage="1" sqref="F70:F74" xr:uid="{00000000-0002-0000-0000-000002000000}">
      <formula1>$C$70:$C$71</formula1>
    </dataValidation>
    <dataValidation type="list" allowBlank="1" showInputMessage="1" showErrorMessage="1" sqref="F98" xr:uid="{00000000-0002-0000-0000-000003000000}">
      <formula1>$C$93:$C$96</formula1>
    </dataValidation>
    <dataValidation type="list" allowBlank="1" showInputMessage="1" showErrorMessage="1" sqref="G51:G53" xr:uid="{00000000-0002-0000-0000-000004000000}">
      <formula1>$B$48:$B$49</formula1>
    </dataValidation>
    <dataValidation type="list" allowBlank="1" showInputMessage="1" showErrorMessage="1" sqref="E161" xr:uid="{00000000-0002-0000-0000-000005000000}">
      <formula1>$B$159:$B$160</formula1>
    </dataValidation>
    <dataValidation type="list" allowBlank="1" showInputMessage="1" showErrorMessage="1" sqref="D195" xr:uid="{00000000-0002-0000-0000-000006000000}">
      <formula1>$A$193:$A$194</formula1>
    </dataValidation>
  </dataValidations>
  <pageMargins left="0.7" right="0.7" top="0.75" bottom="0.75" header="0.3" footer="0.3"/>
  <pageSetup scale="79" orientation="portrait" horizont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148C8"/>
  </sheetPr>
  <dimension ref="A1:R273"/>
  <sheetViews>
    <sheetView view="pageBreakPreview" zoomScaleNormal="100" zoomScaleSheetLayoutView="100" workbookViewId="0">
      <selection activeCell="L8" sqref="L8"/>
    </sheetView>
  </sheetViews>
  <sheetFormatPr baseColWidth="10" defaultRowHeight="15" x14ac:dyDescent="0.25"/>
  <cols>
    <col min="1" max="1" width="7.7109375" customWidth="1"/>
    <col min="2" max="2" width="11.42578125" customWidth="1"/>
    <col min="3" max="3" width="12.7109375" customWidth="1"/>
    <col min="4" max="4" width="12" customWidth="1"/>
    <col min="5" max="5" width="12.7109375" customWidth="1"/>
    <col min="6" max="6" width="13.42578125" customWidth="1"/>
    <col min="7" max="7" width="11.5703125" customWidth="1"/>
    <col min="8" max="8" width="11.42578125" customWidth="1"/>
  </cols>
  <sheetData>
    <row r="1" spans="1:9" ht="15" customHeight="1" x14ac:dyDescent="0.25">
      <c r="A1" s="833" t="s">
        <v>93</v>
      </c>
      <c r="B1" s="833"/>
      <c r="C1" s="833"/>
      <c r="D1" s="833"/>
      <c r="E1" s="833"/>
      <c r="F1" s="833"/>
      <c r="G1" s="833"/>
      <c r="H1" s="833"/>
      <c r="I1" s="833"/>
    </row>
    <row r="2" spans="1:9" ht="15" customHeight="1" x14ac:dyDescent="0.25">
      <c r="A2" s="833"/>
      <c r="B2" s="833"/>
      <c r="C2" s="833"/>
      <c r="D2" s="833"/>
      <c r="E2" s="833"/>
      <c r="F2" s="833"/>
      <c r="G2" s="833"/>
      <c r="H2" s="833"/>
      <c r="I2" s="833"/>
    </row>
    <row r="3" spans="1:9" ht="15" customHeight="1" x14ac:dyDescent="0.25">
      <c r="A3" s="3"/>
      <c r="B3" s="163"/>
      <c r="C3" s="163"/>
      <c r="D3" s="163"/>
      <c r="E3" s="163"/>
      <c r="F3" s="163"/>
      <c r="G3" s="163"/>
      <c r="H3" s="2"/>
      <c r="I3" s="2"/>
    </row>
    <row r="4" spans="1:9" ht="15" customHeight="1" x14ac:dyDescent="0.25">
      <c r="A4" s="3"/>
      <c r="B4" s="163"/>
      <c r="C4" s="163"/>
      <c r="D4" s="163"/>
      <c r="E4" s="163"/>
      <c r="F4" s="163"/>
      <c r="G4" s="163"/>
      <c r="H4" s="2"/>
      <c r="I4" s="2"/>
    </row>
    <row r="5" spans="1:9" ht="15" customHeight="1" x14ac:dyDescent="0.25">
      <c r="A5" s="3"/>
      <c r="B5" s="163"/>
      <c r="C5" s="163"/>
      <c r="D5" s="163"/>
      <c r="E5" s="163"/>
      <c r="F5" s="163"/>
      <c r="G5" s="163"/>
      <c r="H5" s="2"/>
      <c r="I5" s="2"/>
    </row>
    <row r="6" spans="1:9" ht="15" customHeight="1" x14ac:dyDescent="0.25">
      <c r="A6" s="3"/>
      <c r="B6" s="163"/>
      <c r="C6" s="163"/>
      <c r="D6" s="163"/>
      <c r="E6" s="163"/>
      <c r="F6" s="163"/>
      <c r="G6" s="163"/>
      <c r="H6" s="2"/>
      <c r="I6" s="2"/>
    </row>
    <row r="7" spans="1:9" ht="15" customHeight="1" x14ac:dyDescent="0.25">
      <c r="A7" s="3"/>
      <c r="B7" s="163"/>
      <c r="C7" s="163"/>
      <c r="D7" s="163"/>
      <c r="E7" s="163"/>
      <c r="F7" s="163"/>
      <c r="G7" s="163"/>
      <c r="H7" s="2"/>
      <c r="I7" s="2"/>
    </row>
    <row r="8" spans="1:9" ht="15" customHeight="1" x14ac:dyDescent="0.25">
      <c r="A8" s="3"/>
      <c r="B8" s="163"/>
      <c r="C8" s="163"/>
      <c r="D8" s="163"/>
      <c r="E8" s="163"/>
      <c r="F8" s="163"/>
      <c r="G8" s="163"/>
      <c r="H8" s="2"/>
      <c r="I8" s="2"/>
    </row>
    <row r="9" spans="1:9" ht="15" customHeight="1" x14ac:dyDescent="0.25">
      <c r="A9" s="3"/>
      <c r="B9" s="163"/>
      <c r="C9" s="163"/>
      <c r="D9" s="163"/>
      <c r="E9" s="163"/>
      <c r="F9" s="163"/>
      <c r="G9" s="163"/>
      <c r="H9" s="2"/>
      <c r="I9" s="2"/>
    </row>
    <row r="10" spans="1:9" ht="15" customHeight="1" x14ac:dyDescent="0.25">
      <c r="A10" s="3"/>
      <c r="B10" s="163"/>
      <c r="C10" s="163"/>
      <c r="D10" s="163"/>
      <c r="E10" s="163"/>
      <c r="F10" s="163"/>
      <c r="G10" s="163"/>
      <c r="H10" s="2"/>
      <c r="I10" s="2"/>
    </row>
    <row r="11" spans="1:9" ht="15" customHeight="1" x14ac:dyDescent="0.25">
      <c r="A11" s="3"/>
      <c r="B11" s="163"/>
      <c r="C11" s="163"/>
      <c r="D11" s="163"/>
      <c r="E11" s="163"/>
      <c r="F11" s="163"/>
      <c r="G11" s="163"/>
      <c r="H11" s="2"/>
      <c r="I11" s="2"/>
    </row>
    <row r="12" spans="1:9" ht="15" customHeight="1" x14ac:dyDescent="0.25">
      <c r="A12" s="3"/>
      <c r="B12" s="163"/>
      <c r="C12" s="163"/>
      <c r="D12" s="163"/>
      <c r="E12" s="163"/>
      <c r="F12" s="163"/>
      <c r="G12" s="163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ht="15.75" x14ac:dyDescent="0.25">
      <c r="A15" s="669" t="s">
        <v>0</v>
      </c>
      <c r="B15" s="669"/>
      <c r="C15" s="669"/>
      <c r="D15" s="2"/>
      <c r="E15" s="162"/>
      <c r="F15" s="162"/>
      <c r="G15" s="162"/>
      <c r="H15" s="162"/>
      <c r="I15" s="2"/>
    </row>
    <row r="16" spans="1:9" x14ac:dyDescent="0.25">
      <c r="A16" s="2"/>
      <c r="B16" s="2"/>
      <c r="C16" s="2"/>
      <c r="D16" s="2"/>
      <c r="E16" s="566" t="s">
        <v>321</v>
      </c>
      <c r="F16" s="566"/>
      <c r="G16" s="566"/>
      <c r="H16" s="566"/>
      <c r="I16" s="2"/>
    </row>
    <row r="17" spans="1:10" ht="15.75" x14ac:dyDescent="0.25">
      <c r="A17" s="5" t="s">
        <v>1</v>
      </c>
      <c r="B17" s="2"/>
      <c r="C17" s="2"/>
      <c r="D17" s="2"/>
      <c r="E17" s="2"/>
      <c r="F17" s="2"/>
      <c r="G17" s="2"/>
      <c r="H17" s="2"/>
      <c r="I17" s="2"/>
    </row>
    <row r="18" spans="1:10" ht="15.75" x14ac:dyDescent="0.25">
      <c r="A18" s="5"/>
      <c r="B18" s="2"/>
      <c r="C18" s="2"/>
      <c r="D18" s="2"/>
      <c r="E18" s="2"/>
      <c r="F18" s="2"/>
      <c r="G18" s="2"/>
      <c r="H18" s="2"/>
      <c r="I18" s="2"/>
    </row>
    <row r="19" spans="1:10" x14ac:dyDescent="0.25">
      <c r="A19" s="2"/>
      <c r="B19" s="100" t="s">
        <v>113</v>
      </c>
      <c r="C19" s="101"/>
      <c r="D19" s="101"/>
      <c r="E19" s="104"/>
      <c r="F19" s="2"/>
      <c r="G19" s="2"/>
      <c r="H19" s="2"/>
      <c r="I19" s="2"/>
      <c r="J19" s="2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10" x14ac:dyDescent="0.25">
      <c r="A21" s="2"/>
      <c r="B21" s="2"/>
      <c r="C21" s="6" t="s">
        <v>95</v>
      </c>
      <c r="D21" s="6"/>
      <c r="E21" s="6"/>
      <c r="F21" s="6"/>
      <c r="G21" s="6"/>
      <c r="H21" s="6"/>
      <c r="I21" s="6"/>
    </row>
    <row r="22" spans="1:10" ht="15" customHeight="1" x14ac:dyDescent="0.25">
      <c r="A22" s="2"/>
      <c r="B22" s="545" t="s">
        <v>94</v>
      </c>
      <c r="C22" s="649" t="s">
        <v>98</v>
      </c>
      <c r="D22" s="649" t="s">
        <v>2</v>
      </c>
      <c r="E22" s="648" t="s">
        <v>99</v>
      </c>
      <c r="F22" s="648"/>
      <c r="G22" s="648"/>
      <c r="H22" s="648"/>
      <c r="I22" s="2"/>
    </row>
    <row r="23" spans="1:10" ht="15.75" customHeight="1" x14ac:dyDescent="0.25">
      <c r="A23" s="2"/>
      <c r="B23" s="545"/>
      <c r="C23" s="670"/>
      <c r="D23" s="670"/>
      <c r="E23" s="649" t="s">
        <v>101</v>
      </c>
      <c r="F23" s="649" t="s">
        <v>100</v>
      </c>
      <c r="G23" s="649" t="s">
        <v>102</v>
      </c>
      <c r="H23" s="671" t="s">
        <v>3</v>
      </c>
      <c r="I23" s="2"/>
    </row>
    <row r="24" spans="1:10" ht="15.75" customHeight="1" x14ac:dyDescent="0.25">
      <c r="A24" s="2"/>
      <c r="B24" s="545"/>
      <c r="C24" s="650"/>
      <c r="D24" s="650"/>
      <c r="E24" s="650"/>
      <c r="F24" s="650"/>
      <c r="G24" s="650"/>
      <c r="H24" s="672"/>
      <c r="I24" s="2"/>
    </row>
    <row r="25" spans="1:10" ht="15" customHeight="1" x14ac:dyDescent="0.25">
      <c r="A25" s="7"/>
      <c r="B25" s="545"/>
      <c r="C25" s="8" t="s">
        <v>96</v>
      </c>
      <c r="D25" s="9">
        <v>0.8</v>
      </c>
      <c r="E25" s="10">
        <v>3.7</v>
      </c>
      <c r="F25" s="11">
        <v>0.85</v>
      </c>
      <c r="G25" s="12">
        <v>0.4</v>
      </c>
      <c r="H25" s="11">
        <v>0.13</v>
      </c>
      <c r="I25" s="2"/>
    </row>
    <row r="26" spans="1:10" x14ac:dyDescent="0.25">
      <c r="A26" s="7"/>
      <c r="B26" s="545"/>
      <c r="C26" s="8" t="s">
        <v>97</v>
      </c>
      <c r="D26" s="9">
        <v>0.8</v>
      </c>
      <c r="E26" s="11">
        <v>2.9</v>
      </c>
      <c r="F26" s="11">
        <v>0.83</v>
      </c>
      <c r="G26" s="11">
        <v>0.48</v>
      </c>
      <c r="H26" s="12">
        <v>0.1</v>
      </c>
      <c r="I26" s="2"/>
    </row>
    <row r="27" spans="1:10" x14ac:dyDescent="0.25">
      <c r="A27" s="7"/>
      <c r="B27" s="545"/>
      <c r="C27" s="99" t="s">
        <v>103</v>
      </c>
      <c r="D27" s="13"/>
      <c r="E27" s="14"/>
      <c r="F27" s="2"/>
      <c r="G27" s="2"/>
      <c r="H27" s="2"/>
      <c r="I27" s="2"/>
    </row>
    <row r="28" spans="1:10" x14ac:dyDescent="0.25">
      <c r="A28" s="7"/>
      <c r="B28" s="545"/>
      <c r="C28" s="98"/>
      <c r="D28" s="13"/>
      <c r="E28" s="14"/>
      <c r="F28" s="2"/>
      <c r="G28" s="2"/>
      <c r="H28" s="2"/>
      <c r="I28" s="2"/>
    </row>
    <row r="29" spans="1:10" x14ac:dyDescent="0.25">
      <c r="A29" s="15"/>
      <c r="B29" s="545"/>
      <c r="C29" s="2" t="s">
        <v>104</v>
      </c>
      <c r="D29" s="2"/>
      <c r="E29" s="2"/>
      <c r="F29" s="16" t="s">
        <v>97</v>
      </c>
      <c r="G29" s="673" t="s">
        <v>105</v>
      </c>
      <c r="H29" s="673"/>
      <c r="I29" s="2"/>
      <c r="J29" s="2"/>
    </row>
    <row r="30" spans="1:10" x14ac:dyDescent="0.25">
      <c r="A30" s="2"/>
      <c r="B30" s="18"/>
      <c r="C30" s="2"/>
      <c r="D30" s="2"/>
      <c r="E30" s="19"/>
      <c r="F30" s="2"/>
      <c r="G30" s="673"/>
      <c r="H30" s="673"/>
      <c r="I30" s="2"/>
    </row>
    <row r="31" spans="1:10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10" ht="15" customHeight="1" x14ac:dyDescent="0.25">
      <c r="A32" s="2"/>
      <c r="B32" s="545" t="s">
        <v>4</v>
      </c>
      <c r="C32" s="2"/>
      <c r="D32" s="2"/>
      <c r="E32" s="2"/>
      <c r="F32" s="2"/>
      <c r="G32" s="2"/>
      <c r="H32" s="2"/>
      <c r="I32" s="2"/>
    </row>
    <row r="33" spans="1:9" ht="15" customHeight="1" x14ac:dyDescent="0.25">
      <c r="A33" s="2"/>
      <c r="B33" s="545"/>
      <c r="C33" s="2" t="s">
        <v>106</v>
      </c>
      <c r="D33" s="2"/>
      <c r="E33" s="2"/>
      <c r="F33" s="20">
        <v>0.05</v>
      </c>
      <c r="G33" s="2"/>
      <c r="H33" s="2"/>
      <c r="I33" s="2"/>
    </row>
    <row r="34" spans="1:9" x14ac:dyDescent="0.25">
      <c r="A34" s="2"/>
      <c r="B34" s="545"/>
      <c r="C34" s="7"/>
      <c r="D34" s="2"/>
      <c r="E34" s="2"/>
      <c r="F34" s="2"/>
      <c r="G34" s="2"/>
      <c r="H34" s="2"/>
      <c r="I34" s="2"/>
    </row>
    <row r="35" spans="1:9" x14ac:dyDescent="0.25">
      <c r="A35" s="2"/>
      <c r="B35" s="18"/>
      <c r="C35" s="7"/>
      <c r="D35" s="2"/>
      <c r="E35" s="2"/>
      <c r="F35" s="2"/>
      <c r="G35" s="2"/>
      <c r="H35" s="2"/>
      <c r="I35" s="2"/>
    </row>
    <row r="36" spans="1:9" x14ac:dyDescent="0.25">
      <c r="A36" s="2"/>
      <c r="B36" s="100" t="s">
        <v>107</v>
      </c>
      <c r="C36" s="101"/>
      <c r="D36" s="101"/>
      <c r="E36" s="2"/>
      <c r="F36" s="2"/>
      <c r="G36" s="2"/>
      <c r="H36" s="2"/>
      <c r="I36" s="2"/>
    </row>
    <row r="37" spans="1:9" x14ac:dyDescent="0.25">
      <c r="A37" s="2"/>
      <c r="B37" s="2"/>
      <c r="C37" s="2"/>
      <c r="D37" s="2"/>
      <c r="E37" s="2"/>
      <c r="F37" s="2"/>
      <c r="G37" s="674" t="s">
        <v>110</v>
      </c>
      <c r="H37" s="674"/>
      <c r="I37" s="2"/>
    </row>
    <row r="38" spans="1:9" ht="15" customHeight="1" x14ac:dyDescent="0.25">
      <c r="A38" s="2"/>
      <c r="B38" s="28" t="s">
        <v>147</v>
      </c>
      <c r="C38" s="6" t="s">
        <v>108</v>
      </c>
      <c r="D38" s="2"/>
      <c r="E38" s="102">
        <v>0.24</v>
      </c>
      <c r="F38" s="2" t="s">
        <v>109</v>
      </c>
      <c r="G38" s="674"/>
      <c r="H38" s="674"/>
      <c r="I38" s="2"/>
    </row>
    <row r="39" spans="1:9" ht="15.75" x14ac:dyDescent="0.25">
      <c r="A39" s="2"/>
      <c r="B39" s="257" t="s">
        <v>148</v>
      </c>
      <c r="C39" s="6" t="s">
        <v>111</v>
      </c>
      <c r="D39" s="2"/>
      <c r="E39" s="103">
        <v>8.0000000000000002E-3</v>
      </c>
      <c r="F39" s="2" t="s">
        <v>112</v>
      </c>
      <c r="G39" s="674"/>
      <c r="H39" s="674"/>
      <c r="I39" s="2"/>
    </row>
    <row r="40" spans="1:9" x14ac:dyDescent="0.25">
      <c r="A40" s="2"/>
      <c r="B40" s="2"/>
      <c r="C40" s="2"/>
      <c r="D40" s="2"/>
      <c r="E40" s="2"/>
      <c r="F40" s="2"/>
      <c r="G40" s="674"/>
      <c r="H40" s="674"/>
      <c r="I40" s="2"/>
    </row>
    <row r="41" spans="1:9" ht="15" customHeight="1" x14ac:dyDescent="0.25">
      <c r="A41" s="2"/>
      <c r="B41" s="2"/>
      <c r="C41" s="25" t="s">
        <v>345</v>
      </c>
      <c r="D41" s="2"/>
      <c r="E41" s="2"/>
      <c r="F41" s="2"/>
      <c r="G41" s="258" t="s">
        <v>148</v>
      </c>
      <c r="H41" s="675" t="s">
        <v>347</v>
      </c>
      <c r="I41" s="675"/>
    </row>
    <row r="42" spans="1:9" x14ac:dyDescent="0.25">
      <c r="A42" s="2"/>
      <c r="B42" s="2"/>
      <c r="C42" s="25" t="s">
        <v>346</v>
      </c>
      <c r="D42" s="2"/>
      <c r="E42" s="2"/>
      <c r="F42" s="2"/>
      <c r="G42" s="258" t="s">
        <v>148</v>
      </c>
      <c r="H42" s="675"/>
      <c r="I42" s="675"/>
    </row>
    <row r="43" spans="1:9" x14ac:dyDescent="0.25">
      <c r="A43" s="2"/>
      <c r="B43" s="2"/>
      <c r="C43" s="25"/>
      <c r="D43" s="2"/>
      <c r="E43" s="2"/>
      <c r="F43" s="2"/>
      <c r="G43" s="283"/>
      <c r="H43" s="262"/>
      <c r="I43" s="262"/>
    </row>
    <row r="44" spans="1:9" x14ac:dyDescent="0.25">
      <c r="A44" s="2"/>
      <c r="B44" s="2"/>
      <c r="C44" s="282" t="s">
        <v>395</v>
      </c>
      <c r="D44" s="2"/>
      <c r="E44" s="2"/>
      <c r="F44" s="2"/>
      <c r="G44" s="2"/>
      <c r="H44" s="2"/>
      <c r="I44" s="2"/>
    </row>
    <row r="45" spans="1:9" x14ac:dyDescent="0.25">
      <c r="A45" s="2"/>
      <c r="B45" s="22"/>
      <c r="C45" s="2"/>
      <c r="D45" s="2"/>
      <c r="E45" s="2"/>
      <c r="F45" s="2"/>
      <c r="G45" s="2"/>
      <c r="H45" s="2"/>
      <c r="I45" s="2"/>
    </row>
    <row r="46" spans="1:9" x14ac:dyDescent="0.25">
      <c r="A46" s="2"/>
      <c r="B46" s="22"/>
      <c r="C46" s="2"/>
      <c r="D46" s="2"/>
      <c r="E46" s="2"/>
      <c r="F46" s="2"/>
      <c r="G46" s="2"/>
      <c r="H46" s="2"/>
      <c r="I46" s="2"/>
    </row>
    <row r="47" spans="1:9" ht="15.75" x14ac:dyDescent="0.25">
      <c r="A47" s="5" t="s">
        <v>5</v>
      </c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3"/>
      <c r="B48" s="24" t="s">
        <v>6</v>
      </c>
      <c r="C48" s="24">
        <v>8</v>
      </c>
      <c r="D48" s="25" t="s">
        <v>7</v>
      </c>
      <c r="E48" s="2"/>
      <c r="F48" s="2"/>
      <c r="G48" s="2"/>
      <c r="H48" s="2"/>
      <c r="I48" s="2"/>
    </row>
    <row r="49" spans="1:9" x14ac:dyDescent="0.25">
      <c r="A49" s="658" t="s">
        <v>8</v>
      </c>
      <c r="B49" s="658"/>
      <c r="C49" s="658"/>
      <c r="D49" s="658"/>
      <c r="E49" s="658"/>
      <c r="F49" s="658"/>
      <c r="G49" s="658"/>
      <c r="H49" s="658"/>
      <c r="I49" s="2"/>
    </row>
    <row r="50" spans="1:9" ht="15" customHeight="1" x14ac:dyDescent="0.25">
      <c r="A50" s="648" t="s">
        <v>9</v>
      </c>
      <c r="B50" s="648"/>
      <c r="C50" s="649" t="s">
        <v>115</v>
      </c>
      <c r="D50" s="651" t="s">
        <v>10</v>
      </c>
      <c r="E50" s="652"/>
      <c r="F50" s="652"/>
      <c r="G50" s="652"/>
      <c r="H50" s="653"/>
      <c r="I50" s="2"/>
    </row>
    <row r="51" spans="1:9" x14ac:dyDescent="0.25">
      <c r="A51" s="649"/>
      <c r="B51" s="649"/>
      <c r="C51" s="650"/>
      <c r="D51" s="137" t="s">
        <v>11</v>
      </c>
      <c r="E51" s="137" t="s">
        <v>12</v>
      </c>
      <c r="F51" s="137" t="s">
        <v>13</v>
      </c>
      <c r="G51" s="137" t="s">
        <v>14</v>
      </c>
      <c r="H51" s="137" t="s">
        <v>15</v>
      </c>
      <c r="I51" s="2"/>
    </row>
    <row r="52" spans="1:9" ht="15" customHeight="1" x14ac:dyDescent="0.25">
      <c r="A52" s="659" t="s">
        <v>114</v>
      </c>
      <c r="B52" s="660"/>
      <c r="C52" s="656">
        <v>25</v>
      </c>
      <c r="D52" s="657">
        <v>0.1</v>
      </c>
      <c r="E52" s="657">
        <v>1</v>
      </c>
      <c r="F52" s="657">
        <v>2</v>
      </c>
      <c r="G52" s="657">
        <v>8</v>
      </c>
      <c r="H52" s="657">
        <v>1</v>
      </c>
      <c r="I52" s="2"/>
    </row>
    <row r="53" spans="1:9" x14ac:dyDescent="0.25">
      <c r="A53" s="661"/>
      <c r="B53" s="662"/>
      <c r="C53" s="656"/>
      <c r="D53" s="657"/>
      <c r="E53" s="657"/>
      <c r="F53" s="657"/>
      <c r="G53" s="657"/>
      <c r="H53" s="657"/>
      <c r="I53" s="2"/>
    </row>
    <row r="54" spans="1:9" x14ac:dyDescent="0.25">
      <c r="A54" s="654" t="str">
        <f>F29</f>
        <v>1:10 + 30% PG</v>
      </c>
      <c r="B54" s="655"/>
      <c r="C54" s="656"/>
      <c r="D54" s="657"/>
      <c r="E54" s="657"/>
      <c r="F54" s="657"/>
      <c r="G54" s="657"/>
      <c r="H54" s="657"/>
      <c r="I54" s="2"/>
    </row>
    <row r="55" spans="1:9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5" t="s">
        <v>16</v>
      </c>
      <c r="B57" s="2"/>
      <c r="C57" s="2"/>
      <c r="D57" s="2"/>
      <c r="E57" s="2"/>
      <c r="F57" s="2"/>
      <c r="G57" s="2"/>
      <c r="H57" s="2"/>
      <c r="I57" s="2"/>
    </row>
    <row r="58" spans="1:9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5">
      <c r="A59" s="2"/>
      <c r="B59" s="6" t="s">
        <v>17</v>
      </c>
      <c r="C59" s="2"/>
      <c r="D59" s="2"/>
      <c r="E59" s="17">
        <v>1</v>
      </c>
      <c r="F59" s="2" t="s">
        <v>18</v>
      </c>
      <c r="G59" s="2"/>
      <c r="H59" s="2"/>
      <c r="I59" s="2"/>
    </row>
    <row r="60" spans="1:9" x14ac:dyDescent="0.25">
      <c r="A60" s="2"/>
      <c r="B60" s="6" t="s">
        <v>19</v>
      </c>
      <c r="C60" s="2"/>
      <c r="D60" s="2"/>
      <c r="E60" s="20">
        <v>0.03</v>
      </c>
      <c r="F60" s="2" t="s">
        <v>20</v>
      </c>
      <c r="G60" s="27" t="s">
        <v>21</v>
      </c>
      <c r="H60" s="27"/>
      <c r="I60" s="27"/>
    </row>
    <row r="61" spans="1:9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5" t="s">
        <v>22</v>
      </c>
      <c r="B63" s="2"/>
      <c r="C63" s="2"/>
      <c r="D63" s="566" t="s">
        <v>322</v>
      </c>
      <c r="E63" s="566"/>
      <c r="F63" s="566"/>
      <c r="G63" s="566"/>
      <c r="H63" s="162"/>
    </row>
    <row r="64" spans="1:9" ht="15.75" x14ac:dyDescent="0.25">
      <c r="A64" s="5"/>
      <c r="B64" s="2"/>
      <c r="C64" s="2"/>
      <c r="D64" s="2"/>
      <c r="E64" s="108"/>
      <c r="F64" s="2"/>
      <c r="G64" s="2"/>
      <c r="H64" s="2"/>
      <c r="I64" s="2"/>
    </row>
    <row r="65" spans="1:11" ht="15.75" x14ac:dyDescent="0.25">
      <c r="A65" s="5"/>
      <c r="B65" s="100" t="s">
        <v>143</v>
      </c>
      <c r="C65" s="101"/>
      <c r="D65" s="2"/>
      <c r="E65" s="27" t="s">
        <v>118</v>
      </c>
      <c r="F65" s="2"/>
      <c r="G65" s="2"/>
      <c r="H65" s="2"/>
      <c r="I65" s="2"/>
    </row>
    <row r="66" spans="1:11" x14ac:dyDescent="0.25">
      <c r="A66" s="22"/>
      <c r="B66" s="18"/>
      <c r="C66" s="107"/>
      <c r="D66" s="107"/>
      <c r="E66" s="107"/>
      <c r="F66" s="107"/>
      <c r="G66" s="2"/>
      <c r="H66" s="2"/>
      <c r="I66" s="2"/>
    </row>
    <row r="67" spans="1:11" x14ac:dyDescent="0.25">
      <c r="A67" s="28" t="s">
        <v>119</v>
      </c>
      <c r="B67" s="573" t="s">
        <v>23</v>
      </c>
      <c r="C67" s="574"/>
      <c r="D67" s="138" t="s">
        <v>123</v>
      </c>
      <c r="E67" s="575" t="s">
        <v>116</v>
      </c>
      <c r="F67" s="576"/>
      <c r="G67" s="577" t="s">
        <v>117</v>
      </c>
      <c r="H67" s="578"/>
      <c r="I67" s="2"/>
    </row>
    <row r="68" spans="1:11" x14ac:dyDescent="0.25">
      <c r="A68" s="28" t="s">
        <v>120</v>
      </c>
      <c r="B68" s="447" t="s">
        <v>39</v>
      </c>
      <c r="C68" s="530"/>
      <c r="D68" s="109" t="s">
        <v>121</v>
      </c>
      <c r="E68" s="115" t="s">
        <v>24</v>
      </c>
      <c r="F68" s="30">
        <v>22</v>
      </c>
      <c r="G68" s="115" t="s">
        <v>24</v>
      </c>
      <c r="H68" s="106">
        <f>F68/1.18</f>
        <v>18.64406779661017</v>
      </c>
      <c r="I68" s="2"/>
    </row>
    <row r="69" spans="1:11" ht="15.75" x14ac:dyDescent="0.25">
      <c r="A69" s="28"/>
      <c r="B69" s="447" t="s">
        <v>40</v>
      </c>
      <c r="C69" s="530"/>
      <c r="D69" s="110" t="s">
        <v>122</v>
      </c>
      <c r="E69" s="115" t="s">
        <v>24</v>
      </c>
      <c r="F69" s="30">
        <v>55</v>
      </c>
      <c r="G69" s="115" t="s">
        <v>24</v>
      </c>
      <c r="H69" s="106">
        <f t="shared" ref="H69:H71" si="0">F69/1.18</f>
        <v>46.610169491525426</v>
      </c>
      <c r="I69" s="2"/>
    </row>
    <row r="70" spans="1:11" ht="15.75" x14ac:dyDescent="0.25">
      <c r="A70" s="2"/>
      <c r="B70" s="447" t="s">
        <v>160</v>
      </c>
      <c r="C70" s="530"/>
      <c r="D70" s="110" t="s">
        <v>76</v>
      </c>
      <c r="E70" s="115" t="s">
        <v>24</v>
      </c>
      <c r="F70" s="30">
        <v>80</v>
      </c>
      <c r="G70" s="115" t="s">
        <v>24</v>
      </c>
      <c r="H70" s="106">
        <f t="shared" si="0"/>
        <v>67.79661016949153</v>
      </c>
      <c r="I70" s="2"/>
    </row>
    <row r="71" spans="1:11" ht="15.75" x14ac:dyDescent="0.25">
      <c r="A71" s="2"/>
      <c r="B71" s="447" t="s">
        <v>41</v>
      </c>
      <c r="C71" s="530"/>
      <c r="D71" s="110" t="s">
        <v>76</v>
      </c>
      <c r="E71" s="115" t="s">
        <v>24</v>
      </c>
      <c r="F71" s="30">
        <v>5</v>
      </c>
      <c r="G71" s="115" t="s">
        <v>24</v>
      </c>
      <c r="H71" s="106">
        <f t="shared" si="0"/>
        <v>4.2372881355932206</v>
      </c>
      <c r="I71" s="2"/>
      <c r="K71" s="105"/>
    </row>
    <row r="72" spans="1:11" x14ac:dyDescent="0.25">
      <c r="A72" s="2"/>
      <c r="B72" s="447" t="str">
        <f>IF(G41="NO","Gasolina de 84 octanos",IF(AND(G41="SI"),"-"))</f>
        <v>Gasolina de 84 octanos</v>
      </c>
      <c r="C72" s="530"/>
      <c r="D72" s="110" t="str">
        <f>IF(G41="NO","galón",IF(AND(G41="SI"),"-"))</f>
        <v>galón</v>
      </c>
      <c r="E72" s="115" t="str">
        <f>IF(G41="NO","S/.",IF(AND(G41="SI"),"No considerar"))</f>
        <v>S/.</v>
      </c>
      <c r="F72" s="30">
        <v>9.59</v>
      </c>
      <c r="G72" s="115" t="str">
        <f>E72</f>
        <v>S/.</v>
      </c>
      <c r="H72" s="106">
        <f t="shared" ref="H72:H73" si="1">F72/1.18</f>
        <v>8.1271186440677976</v>
      </c>
      <c r="I72" s="2"/>
    </row>
    <row r="73" spans="1:11" x14ac:dyDescent="0.25">
      <c r="A73" s="2"/>
      <c r="B73" s="447" t="str">
        <f>IF(G42="NO","Grasa multipropósitos",IF(AND(G42="SI"),"-"))</f>
        <v>Grasa multipropósitos</v>
      </c>
      <c r="C73" s="530"/>
      <c r="D73" s="110" t="str">
        <f>IF(G42="NO","kg",IF(AND(G42="SI"),"-"))</f>
        <v>kg</v>
      </c>
      <c r="E73" s="115" t="str">
        <f>IF(G42="NO","S/.",IF(AND(G42="SI"),"No considerar"))</f>
        <v>S/.</v>
      </c>
      <c r="F73" s="30">
        <v>20</v>
      </c>
      <c r="G73" s="115" t="str">
        <f>E73</f>
        <v>S/.</v>
      </c>
      <c r="H73" s="106">
        <f t="shared" si="1"/>
        <v>16.949152542372882</v>
      </c>
      <c r="I73" s="2"/>
    </row>
    <row r="74" spans="1:11" x14ac:dyDescent="0.25">
      <c r="A74" s="2"/>
      <c r="B74" s="185"/>
      <c r="C74" s="185"/>
      <c r="D74" s="68"/>
      <c r="E74" s="259"/>
      <c r="F74" s="33"/>
      <c r="G74" s="32"/>
      <c r="H74" s="260"/>
      <c r="I74" s="2"/>
    </row>
    <row r="75" spans="1:11" x14ac:dyDescent="0.25">
      <c r="A75" s="2"/>
      <c r="B75" s="100" t="s">
        <v>152</v>
      </c>
      <c r="C75" s="120"/>
      <c r="D75" s="31"/>
      <c r="E75" s="32"/>
      <c r="F75" s="33"/>
      <c r="G75" s="2"/>
      <c r="H75" s="2"/>
      <c r="I75" s="2"/>
    </row>
    <row r="76" spans="1:11" x14ac:dyDescent="0.25">
      <c r="A76" s="2"/>
      <c r="B76" s="22"/>
      <c r="C76" s="31"/>
      <c r="D76" s="31"/>
      <c r="E76" s="32"/>
      <c r="F76" s="33"/>
      <c r="G76" s="2"/>
      <c r="H76" s="2"/>
      <c r="I76" s="2"/>
    </row>
    <row r="77" spans="1:11" x14ac:dyDescent="0.25">
      <c r="A77" s="28" t="s">
        <v>119</v>
      </c>
      <c r="B77" s="573" t="s">
        <v>26</v>
      </c>
      <c r="C77" s="574"/>
      <c r="D77" s="138" t="s">
        <v>123</v>
      </c>
      <c r="E77" s="584" t="s">
        <v>116</v>
      </c>
      <c r="F77" s="584"/>
      <c r="G77" s="577" t="s">
        <v>117</v>
      </c>
      <c r="H77" s="578"/>
      <c r="I77" s="2"/>
    </row>
    <row r="78" spans="1:11" x14ac:dyDescent="0.25">
      <c r="A78" s="28" t="s">
        <v>120</v>
      </c>
      <c r="B78" s="534" t="s">
        <v>27</v>
      </c>
      <c r="C78" s="535"/>
      <c r="D78" s="284" t="s">
        <v>396</v>
      </c>
      <c r="E78" s="115" t="s">
        <v>24</v>
      </c>
      <c r="F78" s="30">
        <v>12</v>
      </c>
      <c r="G78" s="29" t="s">
        <v>24</v>
      </c>
      <c r="H78" s="106">
        <f>F78/1.18</f>
        <v>10.16949152542373</v>
      </c>
      <c r="I78" s="2"/>
    </row>
    <row r="79" spans="1:11" x14ac:dyDescent="0.25">
      <c r="A79" s="2"/>
      <c r="B79" s="158"/>
      <c r="C79" s="31"/>
      <c r="D79" s="31"/>
      <c r="E79" s="32"/>
      <c r="F79" s="33"/>
      <c r="G79" s="2"/>
      <c r="H79" s="2"/>
      <c r="I79" s="2"/>
    </row>
    <row r="80" spans="1:11" x14ac:dyDescent="0.25">
      <c r="A80" s="2"/>
      <c r="B80" s="18"/>
      <c r="C80" s="31"/>
      <c r="D80" s="31"/>
      <c r="E80" s="32"/>
      <c r="F80" s="33"/>
      <c r="G80" s="2"/>
      <c r="H80" s="2"/>
      <c r="I80" s="2"/>
    </row>
    <row r="81" spans="1:9" x14ac:dyDescent="0.25">
      <c r="A81" s="164"/>
      <c r="B81" s="455" t="s">
        <v>179</v>
      </c>
      <c r="C81" s="455"/>
      <c r="D81" s="564"/>
      <c r="E81" s="17" t="s">
        <v>120</v>
      </c>
      <c r="F81" s="565" t="s">
        <v>149</v>
      </c>
      <c r="G81" s="565"/>
      <c r="H81" s="2"/>
    </row>
    <row r="82" spans="1:9" x14ac:dyDescent="0.25">
      <c r="A82" s="2"/>
      <c r="B82" s="18"/>
      <c r="C82" s="31"/>
      <c r="D82" s="31"/>
      <c r="E82" s="32"/>
      <c r="F82" s="565"/>
      <c r="G82" s="565"/>
      <c r="H82" s="2"/>
      <c r="I82" s="2"/>
    </row>
    <row r="83" spans="1:9" x14ac:dyDescent="0.25">
      <c r="A83" s="2"/>
      <c r="B83" s="18"/>
      <c r="C83" s="31"/>
      <c r="D83" s="31"/>
      <c r="E83" s="32"/>
      <c r="F83" s="33"/>
      <c r="G83" s="2"/>
      <c r="H83" s="2"/>
      <c r="I83" s="2"/>
    </row>
    <row r="84" spans="1:9" x14ac:dyDescent="0.25">
      <c r="A84" s="2"/>
      <c r="B84" s="18"/>
      <c r="C84" s="31"/>
      <c r="D84" s="31"/>
      <c r="E84" s="32"/>
      <c r="F84" s="33"/>
      <c r="G84" s="2"/>
      <c r="H84" s="2"/>
      <c r="I84" s="2"/>
    </row>
    <row r="85" spans="1:9" x14ac:dyDescent="0.25">
      <c r="A85" s="2"/>
      <c r="B85" s="100" t="s">
        <v>144</v>
      </c>
      <c r="C85" s="120"/>
      <c r="D85" s="31"/>
      <c r="E85" s="32"/>
      <c r="F85" s="33"/>
      <c r="G85" s="2"/>
      <c r="H85" s="2"/>
      <c r="I85" s="2"/>
    </row>
    <row r="86" spans="1:9" x14ac:dyDescent="0.25">
      <c r="A86" s="2"/>
      <c r="B86" s="18"/>
      <c r="C86" s="31"/>
      <c r="D86" s="31"/>
      <c r="E86" s="32"/>
      <c r="F86" s="33"/>
      <c r="G86" s="2"/>
      <c r="H86" s="2"/>
      <c r="I86" s="2"/>
    </row>
    <row r="87" spans="1:9" x14ac:dyDescent="0.25">
      <c r="A87" s="2"/>
      <c r="B87" s="567" t="s">
        <v>124</v>
      </c>
      <c r="C87" s="568"/>
      <c r="D87" s="568"/>
      <c r="E87" s="568"/>
      <c r="F87" s="568"/>
      <c r="G87" s="569"/>
      <c r="H87" s="2"/>
      <c r="I87" s="2"/>
    </row>
    <row r="88" spans="1:9" x14ac:dyDescent="0.25">
      <c r="A88" s="2"/>
      <c r="B88" s="570" t="s">
        <v>125</v>
      </c>
      <c r="C88" s="571"/>
      <c r="D88" s="571"/>
      <c r="E88" s="571"/>
      <c r="F88" s="571"/>
      <c r="G88" s="572"/>
      <c r="H88" s="2"/>
      <c r="I88" s="2"/>
    </row>
    <row r="89" spans="1:9" x14ac:dyDescent="0.25">
      <c r="A89" s="2"/>
      <c r="B89" s="524" t="s">
        <v>126</v>
      </c>
      <c r="C89" s="524"/>
      <c r="D89" s="524"/>
      <c r="E89" s="117" t="s">
        <v>12</v>
      </c>
      <c r="F89" s="118" t="s">
        <v>13</v>
      </c>
      <c r="G89" s="117" t="s">
        <v>14</v>
      </c>
      <c r="H89" s="2"/>
      <c r="I89" s="2"/>
    </row>
    <row r="90" spans="1:9" x14ac:dyDescent="0.25">
      <c r="A90" s="2"/>
      <c r="B90" s="525" t="s">
        <v>127</v>
      </c>
      <c r="C90" s="525"/>
      <c r="D90" s="525"/>
      <c r="E90" s="112">
        <v>74.3</v>
      </c>
      <c r="F90" s="112">
        <v>58.45</v>
      </c>
      <c r="G90" s="112">
        <v>52.5</v>
      </c>
      <c r="H90" s="2"/>
      <c r="I90" s="2"/>
    </row>
    <row r="91" spans="1:9" x14ac:dyDescent="0.25">
      <c r="A91" s="2"/>
      <c r="B91" s="526" t="s">
        <v>128</v>
      </c>
      <c r="C91" s="526"/>
      <c r="D91" s="526"/>
      <c r="E91" s="84"/>
      <c r="F91" s="112"/>
      <c r="G91" s="112"/>
      <c r="H91" s="2"/>
      <c r="I91" s="2"/>
    </row>
    <row r="92" spans="1:9" x14ac:dyDescent="0.25">
      <c r="A92" s="2"/>
      <c r="B92" s="121"/>
      <c r="C92" s="122" t="s">
        <v>12</v>
      </c>
      <c r="D92" s="123">
        <v>0.32</v>
      </c>
      <c r="E92" s="84">
        <f>D92*E90</f>
        <v>23.776</v>
      </c>
      <c r="F92" s="112"/>
      <c r="G92" s="112"/>
      <c r="H92" s="2"/>
      <c r="I92" s="2"/>
    </row>
    <row r="93" spans="1:9" x14ac:dyDescent="0.25">
      <c r="A93" s="2"/>
      <c r="B93" s="124"/>
      <c r="C93" s="125" t="s">
        <v>13</v>
      </c>
      <c r="D93" s="126">
        <v>0.3</v>
      </c>
      <c r="E93" s="84"/>
      <c r="F93" s="112">
        <f>D93*F90</f>
        <v>17.535</v>
      </c>
      <c r="G93" s="112"/>
      <c r="H93" s="2"/>
      <c r="I93" s="2"/>
    </row>
    <row r="94" spans="1:9" x14ac:dyDescent="0.25">
      <c r="A94" s="2"/>
      <c r="B94" s="124"/>
      <c r="C94" s="125" t="s">
        <v>14</v>
      </c>
      <c r="D94" s="126">
        <v>0.3</v>
      </c>
      <c r="E94" s="84"/>
      <c r="F94" s="112"/>
      <c r="G94" s="112">
        <f>D94*G90</f>
        <v>15.75</v>
      </c>
      <c r="H94" s="2"/>
      <c r="I94" s="2"/>
    </row>
    <row r="95" spans="1:9" ht="15" customHeight="1" x14ac:dyDescent="0.25">
      <c r="A95" s="2"/>
      <c r="B95" s="527" t="s">
        <v>129</v>
      </c>
      <c r="C95" s="528"/>
      <c r="D95" s="127">
        <v>1.1345000000000001</v>
      </c>
      <c r="E95" s="84">
        <f>D95*E90</f>
        <v>84.293350000000004</v>
      </c>
      <c r="F95" s="112">
        <f>D95*F90</f>
        <v>66.311525000000003</v>
      </c>
      <c r="G95" s="112">
        <f>D95*G90</f>
        <v>59.561250000000001</v>
      </c>
      <c r="H95" s="2"/>
      <c r="I95" s="2"/>
    </row>
    <row r="96" spans="1:9" ht="15" customHeight="1" x14ac:dyDescent="0.25">
      <c r="A96" s="2"/>
      <c r="B96" s="527" t="s">
        <v>130</v>
      </c>
      <c r="C96" s="528"/>
      <c r="D96" s="128">
        <v>0.12</v>
      </c>
      <c r="E96" s="84">
        <f>D96*E92</f>
        <v>2.8531199999999997</v>
      </c>
      <c r="F96" s="112">
        <f>D96*F93</f>
        <v>2.1042000000000001</v>
      </c>
      <c r="G96" s="112">
        <f>D96*G94</f>
        <v>1.89</v>
      </c>
      <c r="H96" s="2"/>
      <c r="I96" s="2"/>
    </row>
    <row r="97" spans="1:9" x14ac:dyDescent="0.25">
      <c r="A97" s="2"/>
      <c r="B97" s="526" t="s">
        <v>131</v>
      </c>
      <c r="C97" s="526"/>
      <c r="D97" s="526"/>
      <c r="E97" s="84">
        <v>8</v>
      </c>
      <c r="F97" s="112">
        <v>8</v>
      </c>
      <c r="G97" s="112">
        <v>8</v>
      </c>
      <c r="H97" s="2"/>
      <c r="I97" s="2"/>
    </row>
    <row r="98" spans="1:9" x14ac:dyDescent="0.25">
      <c r="A98" s="2"/>
      <c r="B98" s="526" t="s">
        <v>132</v>
      </c>
      <c r="C98" s="526"/>
      <c r="D98" s="526"/>
      <c r="E98" s="84">
        <v>0.4</v>
      </c>
      <c r="F98" s="112">
        <v>0.4</v>
      </c>
      <c r="G98" s="112">
        <v>0.4</v>
      </c>
      <c r="H98" s="2"/>
      <c r="I98" s="2"/>
    </row>
    <row r="99" spans="1:9" x14ac:dyDescent="0.25">
      <c r="A99" s="2"/>
      <c r="B99" s="526" t="s">
        <v>133</v>
      </c>
      <c r="C99" s="526"/>
      <c r="D99" s="526"/>
      <c r="E99" s="84">
        <v>0.17</v>
      </c>
      <c r="F99" s="112">
        <v>0.17</v>
      </c>
      <c r="G99" s="112">
        <v>0.17</v>
      </c>
      <c r="H99" s="2"/>
      <c r="I99" s="2"/>
    </row>
    <row r="100" spans="1:9" x14ac:dyDescent="0.25">
      <c r="A100" s="2"/>
      <c r="B100" s="636" t="s">
        <v>134</v>
      </c>
      <c r="C100" s="636"/>
      <c r="D100" s="636"/>
      <c r="E100" s="119">
        <f>E90+E92+E95+E96+E97+E98+E99</f>
        <v>193.79246999999998</v>
      </c>
      <c r="F100" s="118">
        <f>F90+F93+F95+F96+F97+F98+F99</f>
        <v>152.97072499999999</v>
      </c>
      <c r="G100" s="118">
        <f>G90+G94+G95+G96+G97+G98+G99</f>
        <v>138.27124999999998</v>
      </c>
      <c r="H100" s="2"/>
      <c r="I100" s="2"/>
    </row>
    <row r="101" spans="1:9" x14ac:dyDescent="0.25">
      <c r="A101" s="2"/>
      <c r="B101" s="636" t="s">
        <v>135</v>
      </c>
      <c r="C101" s="636"/>
      <c r="D101" s="636"/>
      <c r="E101" s="119">
        <f>E100/8</f>
        <v>24.224058749999998</v>
      </c>
      <c r="F101" s="118">
        <f>F100/8</f>
        <v>19.121340624999998</v>
      </c>
      <c r="G101" s="118">
        <f>G100/8</f>
        <v>17.283906249999998</v>
      </c>
      <c r="H101" s="2"/>
      <c r="I101" s="2"/>
    </row>
    <row r="102" spans="1:9" x14ac:dyDescent="0.25">
      <c r="A102" s="2"/>
      <c r="B102" s="18"/>
      <c r="C102" s="31"/>
      <c r="D102" s="31"/>
      <c r="E102" s="32"/>
      <c r="F102" s="33"/>
      <c r="G102" s="2"/>
      <c r="H102" s="2"/>
      <c r="I102" s="2"/>
    </row>
    <row r="103" spans="1:9" x14ac:dyDescent="0.25">
      <c r="A103" s="2"/>
      <c r="B103" s="580" t="s">
        <v>136</v>
      </c>
      <c r="C103" s="581"/>
      <c r="D103" s="581"/>
      <c r="E103" s="581"/>
      <c r="F103" s="581"/>
      <c r="G103" s="582"/>
      <c r="H103" s="2"/>
      <c r="I103" s="2"/>
    </row>
    <row r="104" spans="1:9" x14ac:dyDescent="0.25">
      <c r="A104" s="2"/>
      <c r="B104" s="129" t="s">
        <v>137</v>
      </c>
      <c r="C104" s="130"/>
      <c r="D104" s="131"/>
      <c r="E104" s="113">
        <v>1.1000000000000001</v>
      </c>
      <c r="F104" s="114" t="s">
        <v>140</v>
      </c>
      <c r="G104" s="111">
        <f>E104*E101</f>
        <v>26.646464625</v>
      </c>
      <c r="H104" s="2"/>
      <c r="I104" s="2"/>
    </row>
    <row r="105" spans="1:9" x14ac:dyDescent="0.25">
      <c r="A105" s="2"/>
      <c r="B105" s="129" t="s">
        <v>12</v>
      </c>
      <c r="C105" s="130"/>
      <c r="D105" s="131"/>
      <c r="E105" s="113"/>
      <c r="F105" s="114"/>
      <c r="G105" s="111">
        <f>E101</f>
        <v>24.224058749999998</v>
      </c>
      <c r="H105" s="2"/>
      <c r="I105" s="2"/>
    </row>
    <row r="106" spans="1:9" x14ac:dyDescent="0.25">
      <c r="A106" s="2"/>
      <c r="B106" s="129" t="s">
        <v>13</v>
      </c>
      <c r="C106" s="130"/>
      <c r="D106" s="131"/>
      <c r="E106" s="115"/>
      <c r="F106" s="116"/>
      <c r="G106" s="111">
        <f>F101</f>
        <v>19.121340624999998</v>
      </c>
      <c r="H106" s="2"/>
      <c r="I106" s="2"/>
    </row>
    <row r="107" spans="1:9" x14ac:dyDescent="0.25">
      <c r="A107" s="2"/>
      <c r="B107" s="129" t="s">
        <v>14</v>
      </c>
      <c r="C107" s="130"/>
      <c r="D107" s="131"/>
      <c r="E107" s="115"/>
      <c r="F107" s="116"/>
      <c r="G107" s="111">
        <f>G101</f>
        <v>17.283906249999998</v>
      </c>
      <c r="H107" s="2"/>
      <c r="I107" s="2"/>
    </row>
    <row r="108" spans="1:9" x14ac:dyDescent="0.25">
      <c r="A108" s="2"/>
      <c r="B108" s="129" t="s">
        <v>138</v>
      </c>
      <c r="C108" s="130"/>
      <c r="D108" s="131"/>
      <c r="E108" s="113">
        <v>1</v>
      </c>
      <c r="F108" s="114" t="s">
        <v>141</v>
      </c>
      <c r="G108" s="111">
        <f>E108*F101</f>
        <v>19.121340624999998</v>
      </c>
      <c r="H108" s="2"/>
      <c r="I108" s="2"/>
    </row>
    <row r="109" spans="1:9" x14ac:dyDescent="0.25">
      <c r="A109" s="2"/>
      <c r="B109" s="630" t="s">
        <v>25</v>
      </c>
      <c r="C109" s="631"/>
      <c r="D109" s="632"/>
      <c r="E109" s="113">
        <v>1.08</v>
      </c>
      <c r="F109" s="114" t="s">
        <v>140</v>
      </c>
      <c r="G109" s="111">
        <f>E109*E101</f>
        <v>26.161983449999997</v>
      </c>
      <c r="H109" s="2"/>
      <c r="I109" s="2"/>
    </row>
    <row r="110" spans="1:9" x14ac:dyDescent="0.25">
      <c r="A110" s="2"/>
      <c r="B110" s="630" t="s">
        <v>139</v>
      </c>
      <c r="C110" s="631"/>
      <c r="D110" s="632"/>
      <c r="E110" s="113">
        <v>1.1000000000000001</v>
      </c>
      <c r="F110" s="114" t="s">
        <v>140</v>
      </c>
      <c r="G110" s="111">
        <f>E110*E101</f>
        <v>26.646464625</v>
      </c>
      <c r="H110" s="2"/>
      <c r="I110" s="2"/>
    </row>
    <row r="111" spans="1:9" x14ac:dyDescent="0.25">
      <c r="A111" s="2"/>
      <c r="B111" s="633" t="s">
        <v>142</v>
      </c>
      <c r="C111" s="633"/>
      <c r="D111" s="633"/>
      <c r="E111" s="633"/>
      <c r="F111" s="633"/>
      <c r="G111" s="633"/>
      <c r="H111" s="2"/>
      <c r="I111" s="2"/>
    </row>
    <row r="112" spans="1:9" x14ac:dyDescent="0.25">
      <c r="A112" s="2"/>
      <c r="B112" s="135"/>
      <c r="C112" s="135"/>
      <c r="D112" s="135"/>
      <c r="E112" s="135"/>
      <c r="F112" s="135"/>
      <c r="G112" s="135"/>
      <c r="H112" s="2"/>
      <c r="I112" s="2"/>
    </row>
    <row r="113" spans="1:18" x14ac:dyDescent="0.25">
      <c r="A113" s="2"/>
      <c r="B113" s="132" t="s">
        <v>145</v>
      </c>
      <c r="C113" s="133"/>
      <c r="D113" s="136">
        <v>4600</v>
      </c>
      <c r="E113" s="32" t="s">
        <v>146</v>
      </c>
      <c r="F113" s="134">
        <f>50*D113</f>
        <v>230000</v>
      </c>
      <c r="G113" s="2"/>
      <c r="H113" s="2"/>
      <c r="I113" s="2"/>
    </row>
    <row r="114" spans="1:18" x14ac:dyDescent="0.25">
      <c r="A114" s="2"/>
      <c r="B114" s="18"/>
      <c r="C114" s="31"/>
      <c r="D114" s="31"/>
      <c r="E114" s="32"/>
      <c r="F114" s="33"/>
      <c r="G114" s="2"/>
      <c r="H114" s="2"/>
      <c r="I114" s="2"/>
    </row>
    <row r="115" spans="1:18" x14ac:dyDescent="0.25">
      <c r="A115" s="28" t="s">
        <v>147</v>
      </c>
      <c r="B115" s="455" t="s">
        <v>181</v>
      </c>
      <c r="C115" s="564"/>
      <c r="D115" s="17" t="s">
        <v>147</v>
      </c>
      <c r="E115" s="635" t="s">
        <v>150</v>
      </c>
      <c r="F115" s="635"/>
      <c r="G115" s="2"/>
    </row>
    <row r="116" spans="1:18" x14ac:dyDescent="0.25">
      <c r="A116" s="28" t="s">
        <v>148</v>
      </c>
      <c r="B116" s="18"/>
      <c r="C116" s="31"/>
      <c r="D116" s="31"/>
      <c r="E116" s="635"/>
      <c r="F116" s="635"/>
      <c r="G116" s="2"/>
      <c r="H116" s="2"/>
      <c r="I116" s="2"/>
    </row>
    <row r="117" spans="1:18" x14ac:dyDescent="0.25">
      <c r="A117" s="2"/>
      <c r="B117" s="18"/>
      <c r="C117" s="31"/>
      <c r="D117" s="31"/>
      <c r="E117" s="32"/>
      <c r="F117" s="33"/>
      <c r="G117" s="2"/>
      <c r="H117" s="2"/>
      <c r="I117" s="2"/>
    </row>
    <row r="118" spans="1:18" x14ac:dyDescent="0.25">
      <c r="A118" s="2"/>
      <c r="B118" s="18"/>
      <c r="C118" s="31"/>
      <c r="D118" s="31"/>
      <c r="E118" s="32"/>
      <c r="F118" s="33"/>
      <c r="G118" s="2"/>
      <c r="H118" s="2"/>
      <c r="I118" s="2"/>
    </row>
    <row r="119" spans="1:18" x14ac:dyDescent="0.25">
      <c r="A119" s="2"/>
      <c r="B119" s="18"/>
      <c r="C119" s="31"/>
      <c r="D119" s="31"/>
      <c r="E119" s="32"/>
      <c r="F119" s="33"/>
      <c r="G119" s="2"/>
      <c r="H119" s="2"/>
      <c r="I119" s="2"/>
    </row>
    <row r="120" spans="1:18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P120" s="2"/>
      <c r="Q120" s="2"/>
      <c r="R120" s="2"/>
    </row>
    <row r="121" spans="1:18" ht="15" customHeight="1" x14ac:dyDescent="0.25">
      <c r="A121" s="2"/>
      <c r="B121" s="18"/>
      <c r="C121" s="31"/>
      <c r="D121" s="31"/>
      <c r="E121" s="32"/>
      <c r="F121" s="34"/>
      <c r="G121" s="684" t="s">
        <v>28</v>
      </c>
      <c r="H121" s="533"/>
      <c r="I121" s="2"/>
    </row>
    <row r="122" spans="1:18" ht="15" customHeight="1" x14ac:dyDescent="0.25">
      <c r="A122" s="2"/>
      <c r="B122" s="18"/>
      <c r="C122" s="31"/>
      <c r="D122" s="31"/>
      <c r="E122" s="32"/>
      <c r="F122" s="104" t="s">
        <v>180</v>
      </c>
      <c r="G122" s="533"/>
      <c r="H122" s="533"/>
      <c r="I122" s="2"/>
    </row>
    <row r="123" spans="1:18" ht="15" customHeight="1" x14ac:dyDescent="0.25">
      <c r="A123" s="2"/>
      <c r="B123" s="18"/>
      <c r="C123" s="31"/>
      <c r="D123" s="31"/>
      <c r="E123" s="32"/>
      <c r="F123" s="34"/>
      <c r="G123" s="533"/>
      <c r="H123" s="533"/>
      <c r="I123" s="2"/>
    </row>
    <row r="124" spans="1:18" ht="15" customHeight="1" x14ac:dyDescent="0.25">
      <c r="A124" s="2"/>
      <c r="B124" s="18"/>
      <c r="C124" s="31"/>
      <c r="D124" s="31"/>
      <c r="E124" s="32"/>
      <c r="F124" s="34"/>
      <c r="G124" s="21"/>
      <c r="H124" s="21"/>
      <c r="I124" s="2"/>
    </row>
    <row r="125" spans="1:18" ht="15" customHeight="1" x14ac:dyDescent="0.25">
      <c r="A125" s="22" t="s">
        <v>151</v>
      </c>
      <c r="B125" s="18"/>
      <c r="C125" s="2"/>
      <c r="D125" s="2"/>
      <c r="E125" s="13"/>
      <c r="F125" s="35"/>
      <c r="G125" s="36"/>
      <c r="H125" s="36"/>
      <c r="I125" s="2"/>
    </row>
    <row r="126" spans="1:18" x14ac:dyDescent="0.25">
      <c r="A126" s="548" t="s">
        <v>29</v>
      </c>
      <c r="B126" s="548"/>
      <c r="C126" s="548"/>
      <c r="D126" s="2"/>
      <c r="E126" s="13"/>
      <c r="F126" s="35"/>
      <c r="G126" s="36"/>
      <c r="H126" s="36"/>
      <c r="I126" s="2"/>
    </row>
    <row r="127" spans="1:18" ht="15.75" x14ac:dyDescent="0.25">
      <c r="A127" s="22"/>
      <c r="B127" s="18"/>
      <c r="C127" s="4" t="s">
        <v>153</v>
      </c>
      <c r="D127" s="2"/>
      <c r="E127" s="139" t="str">
        <f>F29</f>
        <v>1:10 + 30% PG</v>
      </c>
      <c r="F127" s="140" t="s">
        <v>154</v>
      </c>
      <c r="G127" s="37">
        <v>6</v>
      </c>
      <c r="H127" s="38" t="s">
        <v>76</v>
      </c>
      <c r="I127" s="2"/>
    </row>
    <row r="128" spans="1:18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10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10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10" ht="15.75" x14ac:dyDescent="0.25">
      <c r="A131" s="669" t="s">
        <v>30</v>
      </c>
      <c r="B131" s="669"/>
      <c r="C131" s="669"/>
      <c r="D131" s="2"/>
      <c r="E131" s="2"/>
      <c r="F131" s="2"/>
      <c r="G131" s="2"/>
      <c r="H131" s="2"/>
      <c r="I131" s="2"/>
    </row>
    <row r="132" spans="1:10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10" ht="15.75" x14ac:dyDescent="0.25">
      <c r="A133" s="5" t="s">
        <v>155</v>
      </c>
      <c r="B133" s="2"/>
      <c r="C133" s="2"/>
      <c r="D133" s="2"/>
      <c r="E133" s="2"/>
      <c r="F133" s="2"/>
      <c r="G133" s="2"/>
      <c r="H133" s="2"/>
      <c r="I133" s="2"/>
    </row>
    <row r="134" spans="1:10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10" x14ac:dyDescent="0.25">
      <c r="A135" s="2"/>
      <c r="B135" s="6" t="s">
        <v>156</v>
      </c>
      <c r="C135" s="2"/>
      <c r="D135" s="2"/>
      <c r="E135" s="2"/>
      <c r="F135" s="2"/>
      <c r="G135" s="2"/>
      <c r="H135" s="2"/>
      <c r="I135" s="2"/>
    </row>
    <row r="136" spans="1:10" x14ac:dyDescent="0.25">
      <c r="A136" s="2"/>
      <c r="B136" s="2"/>
      <c r="C136" s="2"/>
      <c r="D136" s="24"/>
      <c r="E136" s="24" t="s">
        <v>31</v>
      </c>
      <c r="F136" s="39">
        <f>F33</f>
        <v>0.05</v>
      </c>
      <c r="G136" s="2"/>
      <c r="H136" s="2"/>
      <c r="I136" s="2"/>
      <c r="J136" s="2"/>
    </row>
    <row r="137" spans="1:10" ht="15.75" x14ac:dyDescent="0.25">
      <c r="A137" s="2"/>
      <c r="B137" s="682" t="s">
        <v>157</v>
      </c>
      <c r="C137" s="683"/>
      <c r="D137" s="683"/>
      <c r="E137" s="683"/>
      <c r="F137" s="141">
        <f>G127+G127*F136</f>
        <v>6.3</v>
      </c>
      <c r="G137" s="142" t="s">
        <v>32</v>
      </c>
      <c r="H137" s="2"/>
      <c r="I137" s="2"/>
      <c r="J137" s="2"/>
    </row>
    <row r="138" spans="1:10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10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10" ht="15.75" x14ac:dyDescent="0.25">
      <c r="A140" s="5" t="s">
        <v>164</v>
      </c>
      <c r="B140" s="2"/>
      <c r="C140" s="2"/>
      <c r="D140" s="2"/>
      <c r="E140" s="2"/>
      <c r="F140" s="2"/>
      <c r="G140" s="2"/>
      <c r="H140" s="2"/>
      <c r="I140" s="2"/>
    </row>
    <row r="141" spans="1:10" x14ac:dyDescent="0.25">
      <c r="A141" s="2"/>
      <c r="B141" s="2"/>
      <c r="C141" s="6"/>
      <c r="D141" s="42"/>
      <c r="E141" s="42"/>
      <c r="F141" s="2"/>
      <c r="G141" s="2"/>
      <c r="H141" s="2"/>
      <c r="I141" s="2"/>
      <c r="J141" s="2"/>
    </row>
    <row r="142" spans="1:10" x14ac:dyDescent="0.25">
      <c r="A142" s="2"/>
      <c r="B142" s="25" t="s">
        <v>33</v>
      </c>
      <c r="C142" s="2"/>
      <c r="D142" s="2"/>
      <c r="E142" s="2"/>
      <c r="F142" s="2"/>
      <c r="G142" s="2"/>
      <c r="H142" s="2"/>
    </row>
    <row r="143" spans="1:10" ht="15.75" x14ac:dyDescent="0.25">
      <c r="A143" s="2"/>
      <c r="B143" s="2"/>
      <c r="C143" s="2"/>
      <c r="D143" s="2"/>
      <c r="E143" s="2"/>
      <c r="F143" s="587" t="s">
        <v>444</v>
      </c>
      <c r="G143" s="587"/>
      <c r="H143" s="587"/>
      <c r="I143" s="2"/>
    </row>
    <row r="144" spans="1:10" x14ac:dyDescent="0.25">
      <c r="A144" s="2"/>
      <c r="B144" s="2"/>
      <c r="C144" s="2"/>
      <c r="D144" s="2"/>
      <c r="E144" s="2"/>
      <c r="F144" s="43" t="s">
        <v>34</v>
      </c>
      <c r="G144" s="44">
        <f>IF(E145=C25,E25,IF(AND(E145=C26),E26))</f>
        <v>2.9</v>
      </c>
      <c r="H144" s="45" t="s">
        <v>35</v>
      </c>
      <c r="I144" s="2"/>
    </row>
    <row r="145" spans="1:10" ht="15.75" x14ac:dyDescent="0.25">
      <c r="A145" s="2"/>
      <c r="B145" s="604" t="s">
        <v>158</v>
      </c>
      <c r="C145" s="604"/>
      <c r="D145" s="604"/>
      <c r="E145" s="143" t="str">
        <f>F29</f>
        <v>1:10 + 30% PG</v>
      </c>
      <c r="F145" s="43" t="s">
        <v>36</v>
      </c>
      <c r="G145" s="46">
        <f>IF(E145=C25,F25,IF(AND(E145=C26),F26))</f>
        <v>0.83</v>
      </c>
      <c r="H145" s="45" t="s">
        <v>37</v>
      </c>
      <c r="I145" s="2"/>
    </row>
    <row r="146" spans="1:10" ht="15.75" x14ac:dyDescent="0.25">
      <c r="A146" s="2"/>
      <c r="B146" s="144"/>
      <c r="C146" s="144"/>
      <c r="D146" s="144"/>
      <c r="E146" s="143"/>
      <c r="F146" s="43" t="s">
        <v>159</v>
      </c>
      <c r="G146" s="46">
        <f>IF(E145=C25,G25,IF(AND(E145=C26),G26))</f>
        <v>0.48</v>
      </c>
      <c r="H146" s="45" t="s">
        <v>37</v>
      </c>
      <c r="I146" s="2"/>
    </row>
    <row r="147" spans="1:10" ht="15.75" x14ac:dyDescent="0.25">
      <c r="A147" s="2"/>
      <c r="B147" s="2"/>
      <c r="C147" s="2"/>
      <c r="D147" s="2"/>
      <c r="E147" s="2"/>
      <c r="F147" s="43" t="s">
        <v>38</v>
      </c>
      <c r="G147" s="46">
        <f>IF(E145=C25,H25,IF(AND(E145=C26),H26))</f>
        <v>0.1</v>
      </c>
      <c r="H147" s="45" t="s">
        <v>37</v>
      </c>
      <c r="I147" s="2"/>
    </row>
    <row r="148" spans="1:10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</row>
    <row r="149" spans="1:10" x14ac:dyDescent="0.25">
      <c r="A149" s="2"/>
      <c r="B149" s="2"/>
      <c r="C149" s="2"/>
      <c r="D149" s="2"/>
      <c r="E149" s="2"/>
      <c r="F149" s="2"/>
      <c r="G149" s="2"/>
      <c r="H149" s="2"/>
      <c r="I149" s="2"/>
    </row>
    <row r="150" spans="1:10" ht="15.75" x14ac:dyDescent="0.25">
      <c r="A150" s="2"/>
      <c r="B150" s="47" t="s">
        <v>161</v>
      </c>
      <c r="C150" s="2"/>
      <c r="D150" s="2"/>
      <c r="E150" s="2"/>
      <c r="F150" s="2"/>
      <c r="G150" s="2"/>
      <c r="H150" s="2"/>
      <c r="I150" s="2"/>
    </row>
    <row r="151" spans="1:10" x14ac:dyDescent="0.25">
      <c r="A151" s="2"/>
      <c r="B151" s="2"/>
      <c r="C151" s="2"/>
      <c r="D151" s="2"/>
      <c r="E151" s="2"/>
      <c r="F151" s="2"/>
      <c r="G151" s="2"/>
      <c r="H151" s="2"/>
      <c r="I151" s="2"/>
    </row>
    <row r="152" spans="1:10" x14ac:dyDescent="0.25">
      <c r="A152" s="2"/>
      <c r="B152" s="2"/>
      <c r="C152" s="48" t="s">
        <v>39</v>
      </c>
      <c r="D152" s="49"/>
      <c r="E152" s="146">
        <f>G127*G144</f>
        <v>17.399999999999999</v>
      </c>
      <c r="F152" s="50" t="s">
        <v>35</v>
      </c>
      <c r="G152" s="2"/>
      <c r="H152" s="2"/>
      <c r="I152" s="57"/>
    </row>
    <row r="153" spans="1:10" ht="15.75" x14ac:dyDescent="0.25">
      <c r="A153" s="2"/>
      <c r="B153" s="2"/>
      <c r="C153" s="48" t="s">
        <v>40</v>
      </c>
      <c r="D153" s="49"/>
      <c r="E153" s="146">
        <f>G127*G145</f>
        <v>4.9799999999999995</v>
      </c>
      <c r="F153" s="50" t="s">
        <v>76</v>
      </c>
      <c r="G153" s="2"/>
      <c r="H153" s="2"/>
      <c r="I153" s="57"/>
      <c r="J153" s="2"/>
    </row>
    <row r="154" spans="1:10" ht="15.75" x14ac:dyDescent="0.25">
      <c r="A154" s="2"/>
      <c r="B154" s="2"/>
      <c r="C154" s="48" t="s">
        <v>160</v>
      </c>
      <c r="D154" s="49"/>
      <c r="E154" s="146">
        <f>G127*G146</f>
        <v>2.88</v>
      </c>
      <c r="F154" s="50" t="s">
        <v>76</v>
      </c>
      <c r="G154" s="2"/>
      <c r="H154" s="2"/>
      <c r="I154" s="57"/>
      <c r="J154" s="2"/>
    </row>
    <row r="155" spans="1:10" ht="15.75" x14ac:dyDescent="0.25">
      <c r="A155" s="2"/>
      <c r="B155" s="2"/>
      <c r="C155" s="48" t="s">
        <v>41</v>
      </c>
      <c r="D155" s="49"/>
      <c r="E155" s="145">
        <f>G127*G147</f>
        <v>0.60000000000000009</v>
      </c>
      <c r="F155" s="50" t="s">
        <v>76</v>
      </c>
      <c r="G155" s="2"/>
      <c r="H155" s="2"/>
      <c r="I155" s="57"/>
    </row>
    <row r="156" spans="1:10" x14ac:dyDescent="0.25">
      <c r="A156" s="2"/>
      <c r="B156" s="2"/>
      <c r="C156" s="2"/>
      <c r="D156" s="2"/>
      <c r="E156" s="2"/>
      <c r="F156" s="2"/>
      <c r="G156" s="2"/>
      <c r="H156" s="2"/>
      <c r="I156" s="2"/>
    </row>
    <row r="157" spans="1:10" ht="15.75" x14ac:dyDescent="0.25">
      <c r="A157" s="2"/>
      <c r="B157" s="47" t="s">
        <v>162</v>
      </c>
      <c r="C157" s="2"/>
      <c r="D157" s="2"/>
      <c r="E157" s="2"/>
      <c r="F157" s="2"/>
      <c r="G157" s="2"/>
      <c r="H157" s="2"/>
      <c r="I157" s="2"/>
    </row>
    <row r="158" spans="1:10" x14ac:dyDescent="0.25">
      <c r="A158" s="2"/>
      <c r="B158" s="2"/>
      <c r="C158" s="24"/>
      <c r="D158" s="24" t="s">
        <v>31</v>
      </c>
      <c r="E158" s="39">
        <f>F33</f>
        <v>0.05</v>
      </c>
      <c r="F158" s="2"/>
      <c r="G158" s="2"/>
      <c r="H158" s="2"/>
      <c r="I158" s="2"/>
    </row>
    <row r="159" spans="1:10" x14ac:dyDescent="0.25">
      <c r="A159" s="2"/>
      <c r="B159" s="2"/>
      <c r="C159" s="51" t="s">
        <v>39</v>
      </c>
      <c r="D159" s="52"/>
      <c r="E159" s="148">
        <f>E152+E152*E158</f>
        <v>18.27</v>
      </c>
      <c r="F159" s="53" t="s">
        <v>35</v>
      </c>
      <c r="G159" s="2"/>
      <c r="H159" s="2"/>
      <c r="I159" s="2"/>
    </row>
    <row r="160" spans="1:10" ht="15.75" x14ac:dyDescent="0.25">
      <c r="A160" s="2"/>
      <c r="B160" s="2"/>
      <c r="C160" s="51" t="s">
        <v>40</v>
      </c>
      <c r="D160" s="52"/>
      <c r="E160" s="148">
        <f>E153+E153*E158</f>
        <v>5.2289999999999992</v>
      </c>
      <c r="F160" s="53" t="s">
        <v>76</v>
      </c>
      <c r="G160" s="2"/>
      <c r="H160" s="2"/>
      <c r="I160" s="57"/>
      <c r="J160" s="2"/>
    </row>
    <row r="161" spans="1:12" ht="15.75" x14ac:dyDescent="0.25">
      <c r="A161" s="2"/>
      <c r="B161" s="2"/>
      <c r="C161" s="51" t="s">
        <v>160</v>
      </c>
      <c r="D161" s="52"/>
      <c r="E161" s="148">
        <f>E154+E154*E158</f>
        <v>3.024</v>
      </c>
      <c r="F161" s="53" t="s">
        <v>76</v>
      </c>
      <c r="G161" s="2"/>
      <c r="H161" s="2"/>
      <c r="I161" s="57"/>
      <c r="J161" s="2"/>
      <c r="K161" s="154"/>
      <c r="L161" s="154"/>
    </row>
    <row r="162" spans="1:12" ht="15.75" x14ac:dyDescent="0.25">
      <c r="A162" s="2"/>
      <c r="B162" s="2"/>
      <c r="C162" s="51" t="s">
        <v>41</v>
      </c>
      <c r="D162" s="52"/>
      <c r="E162" s="147">
        <f>E155+E155*E158</f>
        <v>0.63000000000000012</v>
      </c>
      <c r="F162" s="53" t="s">
        <v>76</v>
      </c>
      <c r="G162" s="2"/>
      <c r="H162" s="2"/>
      <c r="I162" s="2"/>
    </row>
    <row r="163" spans="1:12" x14ac:dyDescent="0.25">
      <c r="A163" s="2"/>
      <c r="B163" s="2"/>
      <c r="C163" s="2"/>
      <c r="D163" s="2"/>
      <c r="E163" s="2"/>
      <c r="F163" s="2"/>
      <c r="G163" s="2"/>
      <c r="H163" s="2"/>
      <c r="I163" s="2"/>
    </row>
    <row r="164" spans="1:12" x14ac:dyDescent="0.25">
      <c r="A164" s="2"/>
      <c r="B164" s="2"/>
      <c r="C164" s="2"/>
      <c r="D164" s="2"/>
      <c r="E164" s="2"/>
      <c r="F164" s="2"/>
      <c r="G164" s="2"/>
      <c r="H164" s="2"/>
      <c r="I164" s="2"/>
    </row>
    <row r="165" spans="1:12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54"/>
    </row>
    <row r="166" spans="1:12" x14ac:dyDescent="0.25">
      <c r="A166" s="537" t="s">
        <v>163</v>
      </c>
      <c r="B166" s="537"/>
      <c r="C166" s="537"/>
      <c r="D166" s="537"/>
      <c r="E166" s="537"/>
      <c r="F166" s="537"/>
      <c r="G166" s="537"/>
      <c r="H166" s="537"/>
      <c r="I166" s="2"/>
    </row>
    <row r="167" spans="1:12" x14ac:dyDescent="0.25">
      <c r="A167" s="2"/>
      <c r="B167" s="2"/>
      <c r="C167" s="2"/>
      <c r="D167" s="2"/>
      <c r="E167" s="2"/>
      <c r="F167" s="2"/>
      <c r="G167" s="2"/>
      <c r="H167" s="2"/>
      <c r="I167" s="2"/>
    </row>
    <row r="168" spans="1:12" x14ac:dyDescent="0.25">
      <c r="A168" s="2"/>
      <c r="B168" s="2"/>
      <c r="C168" s="55" t="s">
        <v>39</v>
      </c>
      <c r="D168" s="56"/>
      <c r="E168" s="40">
        <f>E159</f>
        <v>18.27</v>
      </c>
      <c r="F168" s="41" t="s">
        <v>35</v>
      </c>
      <c r="G168" s="57"/>
      <c r="H168" s="2"/>
      <c r="I168" s="58"/>
    </row>
    <row r="169" spans="1:12" ht="15.75" x14ac:dyDescent="0.25">
      <c r="A169" s="2"/>
      <c r="B169" s="2"/>
      <c r="C169" s="55" t="s">
        <v>40</v>
      </c>
      <c r="D169" s="56"/>
      <c r="E169" s="40">
        <f>E160</f>
        <v>5.2289999999999992</v>
      </c>
      <c r="F169" s="41" t="s">
        <v>42</v>
      </c>
      <c r="G169" s="57"/>
      <c r="H169" s="2"/>
      <c r="I169" s="58"/>
      <c r="K169" s="80"/>
    </row>
    <row r="170" spans="1:12" ht="15.75" x14ac:dyDescent="0.25">
      <c r="A170" s="2"/>
      <c r="B170" s="2"/>
      <c r="C170" s="55" t="s">
        <v>160</v>
      </c>
      <c r="D170" s="56"/>
      <c r="E170" s="40">
        <f>E161</f>
        <v>3.024</v>
      </c>
      <c r="F170" s="41" t="s">
        <v>42</v>
      </c>
      <c r="G170" s="57"/>
      <c r="H170" s="2"/>
      <c r="I170" s="58"/>
    </row>
    <row r="171" spans="1:12" ht="15.75" x14ac:dyDescent="0.25">
      <c r="A171" s="2"/>
      <c r="B171" s="2"/>
      <c r="C171" s="55" t="s">
        <v>41</v>
      </c>
      <c r="D171" s="56"/>
      <c r="E171" s="59">
        <f>E162</f>
        <v>0.63000000000000012</v>
      </c>
      <c r="F171" s="41" t="s">
        <v>42</v>
      </c>
      <c r="G171" s="60"/>
      <c r="H171" s="2"/>
      <c r="I171" s="58"/>
      <c r="K171" s="152"/>
    </row>
    <row r="172" spans="1:12" x14ac:dyDescent="0.25">
      <c r="A172" s="2"/>
      <c r="B172" s="2"/>
      <c r="C172" s="2"/>
      <c r="D172" s="2"/>
      <c r="E172" s="2"/>
      <c r="F172" s="2"/>
      <c r="G172" s="2"/>
      <c r="H172" s="2"/>
      <c r="I172" s="2"/>
      <c r="K172" s="152"/>
    </row>
    <row r="173" spans="1:12" x14ac:dyDescent="0.25">
      <c r="A173" s="2"/>
      <c r="B173" s="2"/>
      <c r="C173" s="2"/>
      <c r="D173" s="2"/>
      <c r="E173" s="2"/>
      <c r="F173" s="2"/>
      <c r="G173" s="2"/>
      <c r="H173" s="2"/>
      <c r="I173" s="2"/>
      <c r="K173" s="152"/>
    </row>
    <row r="174" spans="1:12" x14ac:dyDescent="0.25">
      <c r="A174" s="2"/>
      <c r="B174" s="2"/>
      <c r="C174" s="2"/>
      <c r="D174" s="2"/>
      <c r="E174" s="2"/>
      <c r="F174" s="2"/>
      <c r="G174" s="2"/>
      <c r="H174" s="2"/>
      <c r="I174" s="2"/>
      <c r="K174" s="152"/>
    </row>
    <row r="175" spans="1:12" x14ac:dyDescent="0.25">
      <c r="A175" s="2"/>
      <c r="B175" s="2"/>
      <c r="C175" s="2"/>
      <c r="D175" s="2"/>
      <c r="E175" s="2"/>
      <c r="F175" s="2"/>
      <c r="G175" s="2"/>
      <c r="H175" s="2"/>
      <c r="I175" s="2"/>
      <c r="K175" s="152"/>
    </row>
    <row r="176" spans="1:12" ht="15.75" x14ac:dyDescent="0.25">
      <c r="A176" s="686" t="s">
        <v>43</v>
      </c>
      <c r="B176" s="686"/>
      <c r="C176" s="686"/>
      <c r="E176" s="2"/>
      <c r="F176" s="2"/>
      <c r="G176" s="2"/>
      <c r="I176" s="2"/>
      <c r="K176" s="152"/>
    </row>
    <row r="177" spans="1:12" x14ac:dyDescent="0.25">
      <c r="A177" s="2"/>
      <c r="B177" s="2"/>
      <c r="C177" s="2"/>
      <c r="D177" s="2"/>
      <c r="E177" s="61"/>
      <c r="F177" s="62"/>
      <c r="G177" s="63"/>
      <c r="H177" s="2"/>
      <c r="I177" s="2"/>
    </row>
    <row r="178" spans="1:12" x14ac:dyDescent="0.25">
      <c r="A178" s="2"/>
      <c r="B178" s="2"/>
      <c r="C178" s="2"/>
      <c r="D178" s="2"/>
      <c r="E178" s="64"/>
      <c r="F178" s="65"/>
      <c r="G178" s="66"/>
      <c r="H178" s="2"/>
      <c r="I178" s="2"/>
      <c r="K178" s="83"/>
    </row>
    <row r="179" spans="1:12" x14ac:dyDescent="0.25">
      <c r="A179" s="2"/>
      <c r="B179" s="2"/>
      <c r="C179" s="2"/>
      <c r="D179" s="2"/>
      <c r="E179" s="2"/>
      <c r="F179" s="2"/>
      <c r="G179" s="2"/>
      <c r="I179" s="2"/>
      <c r="K179" s="83"/>
    </row>
    <row r="180" spans="1:12" x14ac:dyDescent="0.25">
      <c r="A180" s="2"/>
      <c r="B180" s="2"/>
      <c r="C180" s="2"/>
      <c r="D180" s="596" t="s">
        <v>44</v>
      </c>
      <c r="E180" s="596"/>
      <c r="F180" s="67">
        <f>C48</f>
        <v>8</v>
      </c>
      <c r="G180" s="25" t="s">
        <v>7</v>
      </c>
      <c r="H180" s="2"/>
      <c r="I180" s="2"/>
      <c r="K180" s="83"/>
    </row>
    <row r="181" spans="1:12" x14ac:dyDescent="0.25">
      <c r="A181" s="2"/>
      <c r="B181" s="2"/>
      <c r="C181" s="2"/>
      <c r="D181" s="2"/>
      <c r="E181" s="2"/>
      <c r="F181" s="2"/>
      <c r="G181" s="2"/>
      <c r="H181" s="2"/>
      <c r="I181" s="2"/>
      <c r="K181" s="83"/>
    </row>
    <row r="182" spans="1:12" ht="15.75" x14ac:dyDescent="0.25">
      <c r="A182" s="2"/>
      <c r="B182" s="22" t="s">
        <v>165</v>
      </c>
      <c r="C182" s="2"/>
      <c r="D182" s="2"/>
      <c r="E182" s="2"/>
      <c r="F182" s="2"/>
      <c r="G182" s="2"/>
      <c r="H182" s="2"/>
      <c r="I182" s="2"/>
      <c r="K182" s="83"/>
    </row>
    <row r="183" spans="1:12" ht="15.75" x14ac:dyDescent="0.25">
      <c r="A183" s="2"/>
      <c r="B183" s="2"/>
      <c r="C183" s="499" t="s">
        <v>45</v>
      </c>
      <c r="D183" s="499"/>
      <c r="E183" s="68">
        <f>C52</f>
        <v>25</v>
      </c>
      <c r="F183" s="2" t="s">
        <v>166</v>
      </c>
      <c r="G183" s="2"/>
      <c r="H183" s="2"/>
      <c r="I183" s="2"/>
      <c r="K183" s="83"/>
    </row>
    <row r="184" spans="1:12" x14ac:dyDescent="0.25">
      <c r="A184" s="2"/>
      <c r="B184" s="2"/>
      <c r="C184" s="500" t="s">
        <v>46</v>
      </c>
      <c r="D184" s="501"/>
      <c r="E184" s="504" t="s">
        <v>47</v>
      </c>
      <c r="F184" s="505" t="s">
        <v>48</v>
      </c>
      <c r="G184" s="507" t="s">
        <v>49</v>
      </c>
      <c r="H184" s="2"/>
      <c r="I184" s="2"/>
      <c r="K184" s="83"/>
    </row>
    <row r="185" spans="1:12" x14ac:dyDescent="0.25">
      <c r="A185" s="2"/>
      <c r="B185" s="2"/>
      <c r="C185" s="614"/>
      <c r="D185" s="615"/>
      <c r="E185" s="504"/>
      <c r="F185" s="506"/>
      <c r="G185" s="507"/>
      <c r="H185" s="2"/>
      <c r="I185" s="2"/>
      <c r="K185" s="83"/>
    </row>
    <row r="186" spans="1:12" ht="15" customHeight="1" x14ac:dyDescent="0.25">
      <c r="A186" s="2"/>
      <c r="B186" s="2"/>
      <c r="C186" s="149"/>
      <c r="D186" s="150"/>
      <c r="E186" s="69" t="s">
        <v>11</v>
      </c>
      <c r="F186" s="70">
        <f>D52</f>
        <v>0.1</v>
      </c>
      <c r="G186" s="71">
        <f>(F186*$F$180)/$E$183</f>
        <v>3.2000000000000001E-2</v>
      </c>
      <c r="H186" s="2"/>
      <c r="I186" s="2"/>
    </row>
    <row r="187" spans="1:12" ht="15" customHeight="1" x14ac:dyDescent="0.25">
      <c r="A187" s="2"/>
      <c r="B187" s="2"/>
      <c r="C187" s="606" t="str">
        <f>A52</f>
        <v>CONCRETO PARA CIMIENTOS CORRIDOS</v>
      </c>
      <c r="D187" s="607"/>
      <c r="E187" s="69" t="s">
        <v>12</v>
      </c>
      <c r="F187" s="70">
        <f>E52</f>
        <v>1</v>
      </c>
      <c r="G187" s="71">
        <f t="shared" ref="G187:G190" si="2">(F187*$F$180)/$E$183</f>
        <v>0.32</v>
      </c>
      <c r="H187" s="2"/>
      <c r="I187" s="2"/>
    </row>
    <row r="188" spans="1:12" x14ac:dyDescent="0.25">
      <c r="A188" s="2"/>
      <c r="B188" s="2"/>
      <c r="C188" s="606"/>
      <c r="D188" s="607"/>
      <c r="E188" s="69" t="s">
        <v>13</v>
      </c>
      <c r="F188" s="70">
        <f>F52</f>
        <v>2</v>
      </c>
      <c r="G188" s="71">
        <f t="shared" si="2"/>
        <v>0.64</v>
      </c>
      <c r="H188" s="2"/>
      <c r="I188" s="2"/>
    </row>
    <row r="189" spans="1:12" ht="15.75" customHeight="1" x14ac:dyDescent="0.25">
      <c r="A189" s="2"/>
      <c r="B189" s="2"/>
      <c r="C189" s="606" t="str">
        <f>A54</f>
        <v>1:10 + 30% PG</v>
      </c>
      <c r="D189" s="607"/>
      <c r="E189" s="69" t="s">
        <v>14</v>
      </c>
      <c r="F189" s="70">
        <f>G52</f>
        <v>8</v>
      </c>
      <c r="G189" s="71">
        <f t="shared" si="2"/>
        <v>2.56</v>
      </c>
      <c r="H189" s="2"/>
      <c r="I189" s="2"/>
    </row>
    <row r="190" spans="1:12" ht="15.75" customHeight="1" x14ac:dyDescent="0.25">
      <c r="A190" s="2"/>
      <c r="B190" s="2"/>
      <c r="C190" s="72"/>
      <c r="D190" s="73"/>
      <c r="E190" s="74" t="s">
        <v>50</v>
      </c>
      <c r="F190" s="70">
        <f>H52</f>
        <v>1</v>
      </c>
      <c r="G190" s="71">
        <f t="shared" si="2"/>
        <v>0.32</v>
      </c>
      <c r="H190" s="2"/>
      <c r="I190" s="2"/>
    </row>
    <row r="191" spans="1:12" x14ac:dyDescent="0.25">
      <c r="A191" s="2"/>
      <c r="B191" s="2"/>
      <c r="C191" s="2"/>
      <c r="D191" s="2"/>
      <c r="E191" s="2"/>
      <c r="F191" s="2"/>
      <c r="G191" s="2"/>
      <c r="H191" s="2"/>
      <c r="I191" s="2"/>
      <c r="K191" s="154"/>
      <c r="L191" s="154"/>
    </row>
    <row r="192" spans="1:12" x14ac:dyDescent="0.25">
      <c r="A192" s="2"/>
      <c r="B192" s="2"/>
      <c r="C192" s="2"/>
      <c r="D192" s="2"/>
      <c r="E192" s="2"/>
      <c r="F192" s="2"/>
      <c r="G192" s="2"/>
      <c r="H192" s="2"/>
      <c r="I192" s="2"/>
    </row>
    <row r="193" spans="1:12" ht="15.75" x14ac:dyDescent="0.25">
      <c r="A193" s="685" t="s">
        <v>51</v>
      </c>
      <c r="B193" s="685"/>
      <c r="C193" s="685"/>
      <c r="D193" s="685"/>
      <c r="E193" s="2"/>
      <c r="F193" s="2"/>
      <c r="G193" s="2"/>
      <c r="H193" s="2"/>
      <c r="I193" s="2"/>
    </row>
    <row r="194" spans="1:12" x14ac:dyDescent="0.25">
      <c r="A194" s="2"/>
      <c r="B194" s="2"/>
      <c r="C194" s="2"/>
      <c r="D194" s="2"/>
      <c r="E194" s="2"/>
      <c r="F194" s="2"/>
      <c r="G194" s="2"/>
      <c r="H194" s="2"/>
      <c r="I194" s="2"/>
    </row>
    <row r="195" spans="1:12" ht="15.75" x14ac:dyDescent="0.25">
      <c r="A195" s="2"/>
      <c r="B195" s="22" t="s">
        <v>167</v>
      </c>
      <c r="C195" s="2"/>
      <c r="D195" s="2"/>
      <c r="E195" s="2"/>
      <c r="F195" s="2"/>
      <c r="G195" s="2"/>
      <c r="H195" s="2"/>
      <c r="I195" s="2"/>
    </row>
    <row r="196" spans="1:12" ht="15.75" x14ac:dyDescent="0.25">
      <c r="A196" s="2"/>
      <c r="B196" s="2"/>
      <c r="C196" s="499" t="s">
        <v>45</v>
      </c>
      <c r="D196" s="499"/>
      <c r="E196" s="68">
        <f>C52</f>
        <v>25</v>
      </c>
      <c r="F196" s="2" t="s">
        <v>166</v>
      </c>
      <c r="G196" s="2"/>
      <c r="H196" s="2"/>
      <c r="I196" s="2"/>
    </row>
    <row r="197" spans="1:12" x14ac:dyDescent="0.25">
      <c r="A197" s="2"/>
      <c r="B197" s="2"/>
      <c r="C197" s="500" t="s">
        <v>46</v>
      </c>
      <c r="D197" s="501"/>
      <c r="E197" s="504" t="s">
        <v>52</v>
      </c>
      <c r="F197" s="505" t="s">
        <v>48</v>
      </c>
      <c r="G197" s="507" t="s">
        <v>53</v>
      </c>
      <c r="H197" s="2"/>
      <c r="I197" s="2"/>
    </row>
    <row r="198" spans="1:12" x14ac:dyDescent="0.25">
      <c r="A198" s="2"/>
      <c r="B198" s="2"/>
      <c r="C198" s="502"/>
      <c r="D198" s="503"/>
      <c r="E198" s="504"/>
      <c r="F198" s="506"/>
      <c r="G198" s="507"/>
      <c r="H198" s="2"/>
      <c r="I198" s="2"/>
    </row>
    <row r="199" spans="1:12" x14ac:dyDescent="0.25">
      <c r="A199" s="2"/>
      <c r="B199" s="2"/>
      <c r="C199" s="508" t="str">
        <f>A52</f>
        <v>CONCRETO PARA CIMIENTOS CORRIDOS</v>
      </c>
      <c r="D199" s="509"/>
      <c r="E199" s="512" t="s">
        <v>54</v>
      </c>
      <c r="F199" s="514">
        <f>E59</f>
        <v>1</v>
      </c>
      <c r="G199" s="516">
        <f>(F199*F180)/E196</f>
        <v>0.32</v>
      </c>
      <c r="H199" s="2"/>
      <c r="I199" s="2"/>
    </row>
    <row r="200" spans="1:12" ht="21.75" customHeight="1" x14ac:dyDescent="0.25">
      <c r="A200" s="2"/>
      <c r="B200" s="2"/>
      <c r="C200" s="510"/>
      <c r="D200" s="511"/>
      <c r="E200" s="513"/>
      <c r="F200" s="515"/>
      <c r="G200" s="517"/>
      <c r="H200" s="2"/>
      <c r="I200" s="2"/>
    </row>
    <row r="201" spans="1:12" x14ac:dyDescent="0.25">
      <c r="A201" s="2"/>
      <c r="B201" s="2"/>
      <c r="C201" s="2"/>
      <c r="D201" s="2"/>
      <c r="E201" s="2"/>
      <c r="F201" s="2"/>
      <c r="G201" s="2"/>
      <c r="H201" s="2"/>
      <c r="I201" s="2"/>
    </row>
    <row r="202" spans="1:12" x14ac:dyDescent="0.25">
      <c r="A202" s="2"/>
      <c r="B202" s="2"/>
      <c r="C202" s="2"/>
      <c r="D202" s="2"/>
      <c r="E202" s="2"/>
      <c r="F202" s="2"/>
      <c r="G202" s="2"/>
      <c r="H202" s="2"/>
      <c r="I202" s="2"/>
    </row>
    <row r="203" spans="1:12" x14ac:dyDescent="0.25">
      <c r="A203" s="2"/>
      <c r="B203" s="2"/>
      <c r="C203" s="2"/>
      <c r="D203" s="2"/>
      <c r="E203" s="2"/>
      <c r="F203" s="2"/>
      <c r="G203" s="2"/>
      <c r="H203" s="2"/>
      <c r="I203" s="2"/>
    </row>
    <row r="204" spans="1:12" ht="15.75" x14ac:dyDescent="0.25">
      <c r="A204" s="647" t="s">
        <v>55</v>
      </c>
      <c r="B204" s="647"/>
      <c r="C204" s="647"/>
      <c r="D204" s="647"/>
      <c r="E204" s="2"/>
      <c r="F204" s="2"/>
      <c r="G204" s="2"/>
      <c r="H204" s="2"/>
      <c r="I204" s="2"/>
    </row>
    <row r="205" spans="1:12" ht="15.75" x14ac:dyDescent="0.25">
      <c r="A205" s="153"/>
      <c r="B205" s="153"/>
      <c r="C205" s="153"/>
      <c r="D205" s="153"/>
      <c r="E205" s="2"/>
      <c r="F205" s="2"/>
      <c r="G205" s="2"/>
      <c r="H205" s="2"/>
      <c r="I205" s="2"/>
    </row>
    <row r="206" spans="1:12" ht="15.75" x14ac:dyDescent="0.25">
      <c r="A206" s="153"/>
      <c r="B206" s="153"/>
      <c r="C206" s="153"/>
      <c r="D206" s="153"/>
      <c r="E206" s="2"/>
      <c r="F206" s="2"/>
      <c r="G206" s="2"/>
      <c r="H206" s="2"/>
      <c r="I206" s="2"/>
    </row>
    <row r="207" spans="1:12" ht="15.75" customHeight="1" x14ac:dyDescent="0.25">
      <c r="A207" s="2"/>
      <c r="B207" s="2"/>
      <c r="C207" s="455" t="s">
        <v>171</v>
      </c>
      <c r="D207" s="455"/>
      <c r="E207" s="456" t="str">
        <f>IF(D115="SI","MAYOR A 50 UIT",IF(AND(D115="NO"),"MENOR A 50 UIT"))</f>
        <v>MAYOR A 50 UIT</v>
      </c>
      <c r="F207" s="456"/>
      <c r="G207" s="31"/>
      <c r="H207" s="31"/>
      <c r="I207" s="31"/>
      <c r="J207" s="154"/>
    </row>
    <row r="208" spans="1:12" ht="15.75" customHeight="1" x14ac:dyDescent="0.25">
      <c r="A208" s="2"/>
      <c r="B208" s="2"/>
      <c r="C208" s="455" t="s">
        <v>172</v>
      </c>
      <c r="D208" s="455"/>
      <c r="E208" s="6" t="str">
        <f>IF(E81="Incluido IGV","INCLUIDO IGV",IF(AND(E81="Sin IGV"),"SIN IGV"))</f>
        <v>SIN IGV</v>
      </c>
      <c r="F208" s="25"/>
      <c r="G208" s="2"/>
      <c r="H208" s="2"/>
      <c r="I208" s="2"/>
      <c r="K208" s="154"/>
      <c r="L208" s="154"/>
    </row>
    <row r="209" spans="1:10" ht="15.75" customHeight="1" x14ac:dyDescent="0.25">
      <c r="A209" s="2"/>
      <c r="B209" s="2"/>
      <c r="C209" s="77"/>
      <c r="D209" s="77"/>
      <c r="E209" s="4"/>
      <c r="F209" s="2"/>
      <c r="G209" s="2"/>
      <c r="H209" s="2"/>
      <c r="I209" s="2"/>
    </row>
    <row r="210" spans="1:10" x14ac:dyDescent="0.25">
      <c r="A210" s="2"/>
      <c r="B210" s="2"/>
      <c r="C210" s="2"/>
      <c r="D210" s="2"/>
      <c r="E210" s="2"/>
      <c r="F210" s="2"/>
      <c r="G210" s="2"/>
      <c r="H210" s="2"/>
      <c r="I210" s="2"/>
    </row>
    <row r="211" spans="1:10" x14ac:dyDescent="0.25">
      <c r="A211" s="495" t="s">
        <v>56</v>
      </c>
      <c r="B211" s="495"/>
      <c r="C211" s="496" t="s">
        <v>114</v>
      </c>
      <c r="D211" s="496"/>
      <c r="E211" s="496"/>
      <c r="F211" s="75" t="str">
        <f>A54</f>
        <v>1:10 + 30% PG</v>
      </c>
      <c r="G211" s="4"/>
      <c r="H211" s="151"/>
      <c r="I211" s="2"/>
    </row>
    <row r="212" spans="1:10" ht="15.75" x14ac:dyDescent="0.25">
      <c r="A212" s="2"/>
      <c r="B212" s="2"/>
      <c r="C212" s="32" t="s">
        <v>57</v>
      </c>
      <c r="D212" s="68">
        <f>C52</f>
        <v>25</v>
      </c>
      <c r="E212" s="2" t="s">
        <v>168</v>
      </c>
      <c r="F212" s="2"/>
      <c r="G212" s="2"/>
      <c r="H212" s="2"/>
      <c r="I212" s="2"/>
    </row>
    <row r="213" spans="1:10" ht="15.75" x14ac:dyDescent="0.25">
      <c r="A213" s="2"/>
      <c r="B213" s="2"/>
      <c r="C213" s="32" t="s">
        <v>58</v>
      </c>
      <c r="D213" s="76" t="s">
        <v>42</v>
      </c>
      <c r="E213" s="2"/>
      <c r="F213" s="77"/>
      <c r="G213" s="77" t="s">
        <v>59</v>
      </c>
      <c r="H213" s="78">
        <f>H216+H222+H229</f>
        <v>206.72517668926167</v>
      </c>
      <c r="I213" s="2"/>
      <c r="J213" s="79"/>
    </row>
    <row r="214" spans="1:10" x14ac:dyDescent="0.25">
      <c r="A214" s="497"/>
      <c r="B214" s="497"/>
      <c r="C214" s="26" t="s">
        <v>60</v>
      </c>
      <c r="D214" s="26" t="s">
        <v>61</v>
      </c>
      <c r="E214" s="26" t="s">
        <v>62</v>
      </c>
      <c r="F214" s="26" t="s">
        <v>63</v>
      </c>
      <c r="G214" s="497" t="s">
        <v>64</v>
      </c>
      <c r="H214" s="497"/>
      <c r="I214" s="2"/>
    </row>
    <row r="215" spans="1:10" x14ac:dyDescent="0.25">
      <c r="A215" s="470" t="s">
        <v>65</v>
      </c>
      <c r="B215" s="470"/>
      <c r="C215" s="470"/>
      <c r="D215" s="470"/>
      <c r="E215" s="470"/>
      <c r="F215" s="470"/>
      <c r="G215" s="498"/>
      <c r="H215" s="498"/>
      <c r="I215" s="2"/>
    </row>
    <row r="216" spans="1:10" x14ac:dyDescent="0.25">
      <c r="A216" s="469" t="s">
        <v>66</v>
      </c>
      <c r="B216" s="469"/>
      <c r="C216" s="11" t="s">
        <v>67</v>
      </c>
      <c r="D216" s="81">
        <f>G186</f>
        <v>3.2000000000000001E-2</v>
      </c>
      <c r="E216" s="12">
        <f>IF(D115="SI",G104,IF(AND(D115="NO"),((E90*1.1)/8)))</f>
        <v>26.646464625</v>
      </c>
      <c r="F216" s="82">
        <f>D216*E216</f>
        <v>0.85268686800000004</v>
      </c>
      <c r="G216" s="473" t="s">
        <v>24</v>
      </c>
      <c r="H216" s="475">
        <f>F216+F217+F218+F219+F220</f>
        <v>73.46067837199999</v>
      </c>
      <c r="I216" s="2"/>
      <c r="J216" s="54"/>
    </row>
    <row r="217" spans="1:10" x14ac:dyDescent="0.25">
      <c r="A217" s="469" t="s">
        <v>68</v>
      </c>
      <c r="B217" s="469"/>
      <c r="C217" s="11" t="s">
        <v>67</v>
      </c>
      <c r="D217" s="81">
        <f>G187</f>
        <v>0.32</v>
      </c>
      <c r="E217" s="12">
        <f>IF(D115="SI",G105,IF(AND(D115="NO"),(E90/8)))</f>
        <v>24.224058749999998</v>
      </c>
      <c r="F217" s="82">
        <f t="shared" ref="F217:F220" si="3">D217*E217</f>
        <v>7.7516987999999998</v>
      </c>
      <c r="G217" s="519"/>
      <c r="H217" s="520"/>
      <c r="I217" s="2"/>
      <c r="J217" s="54"/>
    </row>
    <row r="218" spans="1:10" x14ac:dyDescent="0.25">
      <c r="A218" s="469" t="s">
        <v>69</v>
      </c>
      <c r="B218" s="469"/>
      <c r="C218" s="11" t="s">
        <v>67</v>
      </c>
      <c r="D218" s="81">
        <f>G188</f>
        <v>0.64</v>
      </c>
      <c r="E218" s="12">
        <f>IF(D115="SI",G106,IF(AND(D115="NO"),(F90/8)))</f>
        <v>19.121340624999998</v>
      </c>
      <c r="F218" s="82">
        <f t="shared" si="3"/>
        <v>12.237658</v>
      </c>
      <c r="G218" s="519"/>
      <c r="H218" s="520"/>
      <c r="I218" s="2"/>
      <c r="J218" s="54"/>
    </row>
    <row r="219" spans="1:10" x14ac:dyDescent="0.25">
      <c r="A219" s="469" t="s">
        <v>70</v>
      </c>
      <c r="B219" s="469"/>
      <c r="C219" s="11" t="s">
        <v>67</v>
      </c>
      <c r="D219" s="81">
        <f>G189</f>
        <v>2.56</v>
      </c>
      <c r="E219" s="12">
        <f>IF(D115="SI",G107,IF(AND(D115="NO"),(G90/8)))</f>
        <v>17.283906249999998</v>
      </c>
      <c r="F219" s="82">
        <f t="shared" si="3"/>
        <v>44.246799999999993</v>
      </c>
      <c r="G219" s="519"/>
      <c r="H219" s="520"/>
      <c r="I219" s="2"/>
      <c r="J219" s="54"/>
    </row>
    <row r="220" spans="1:10" x14ac:dyDescent="0.25">
      <c r="A220" s="477" t="s">
        <v>71</v>
      </c>
      <c r="B220" s="478"/>
      <c r="C220" s="11" t="s">
        <v>67</v>
      </c>
      <c r="D220" s="81">
        <f>G190</f>
        <v>0.32</v>
      </c>
      <c r="E220" s="12">
        <f>IF(D115="SI",G109,IF(AND(D115="NO"),((E90*1.08)/8)))</f>
        <v>26.161983449999997</v>
      </c>
      <c r="F220" s="82">
        <f t="shared" si="3"/>
        <v>8.3718347039999994</v>
      </c>
      <c r="G220" s="474"/>
      <c r="H220" s="476"/>
      <c r="I220" s="2"/>
      <c r="J220" s="54"/>
    </row>
    <row r="221" spans="1:10" x14ac:dyDescent="0.25">
      <c r="A221" s="470" t="s">
        <v>72</v>
      </c>
      <c r="B221" s="470"/>
      <c r="C221" s="470"/>
      <c r="D221" s="470"/>
      <c r="E221" s="470"/>
      <c r="F221" s="470"/>
      <c r="G221" s="471"/>
      <c r="H221" s="471"/>
      <c r="I221" s="2"/>
      <c r="J221" s="54"/>
    </row>
    <row r="222" spans="1:10" x14ac:dyDescent="0.25">
      <c r="A222" s="469" t="s">
        <v>73</v>
      </c>
      <c r="B222" s="469"/>
      <c r="C222" s="11" t="s">
        <v>74</v>
      </c>
      <c r="D222" s="81">
        <f>G144</f>
        <v>2.9</v>
      </c>
      <c r="E222" s="12">
        <f>IF(E81="Incluido IGV",F68,IF(AND(E81="Sin IGV"),H68))</f>
        <v>18.64406779661017</v>
      </c>
      <c r="F222" s="82">
        <f>D222*E222</f>
        <v>54.067796610169488</v>
      </c>
      <c r="G222" s="473" t="s">
        <v>24</v>
      </c>
      <c r="H222" s="475">
        <f>F222+F223+F224+F225+F226+F227</f>
        <v>127.80644067796609</v>
      </c>
      <c r="I222" s="2"/>
    </row>
    <row r="223" spans="1:10" ht="15.75" x14ac:dyDescent="0.25">
      <c r="A223" s="469" t="s">
        <v>75</v>
      </c>
      <c r="B223" s="469"/>
      <c r="C223" s="11" t="s">
        <v>76</v>
      </c>
      <c r="D223" s="81">
        <f t="shared" ref="D223:D225" si="4">G145</f>
        <v>0.83</v>
      </c>
      <c r="E223" s="12">
        <f>IF(E81="Incluido IGV",F69,IF(AND(E81="Sin IGV"),H69))</f>
        <v>46.610169491525426</v>
      </c>
      <c r="F223" s="82">
        <f t="shared" ref="F223:F227" si="5">D223*E223</f>
        <v>38.686440677966104</v>
      </c>
      <c r="G223" s="519"/>
      <c r="H223" s="520"/>
      <c r="I223" s="2"/>
      <c r="J223" s="54"/>
    </row>
    <row r="224" spans="1:10" ht="15.75" x14ac:dyDescent="0.25">
      <c r="A224" s="477" t="s">
        <v>170</v>
      </c>
      <c r="B224" s="478"/>
      <c r="C224" s="11" t="s">
        <v>76</v>
      </c>
      <c r="D224" s="81">
        <f t="shared" si="4"/>
        <v>0.48</v>
      </c>
      <c r="E224" s="12">
        <f>IF(E81="Incluido IGV",F70,IF(AND(E81="Sin IGV"),H70))</f>
        <v>67.79661016949153</v>
      </c>
      <c r="F224" s="82">
        <f t="shared" si="5"/>
        <v>32.542372881355931</v>
      </c>
      <c r="G224" s="519"/>
      <c r="H224" s="520"/>
      <c r="I224" s="2"/>
    </row>
    <row r="225" spans="1:10" ht="15.75" x14ac:dyDescent="0.25">
      <c r="A225" s="469" t="s">
        <v>77</v>
      </c>
      <c r="B225" s="469"/>
      <c r="C225" s="11" t="s">
        <v>76</v>
      </c>
      <c r="D225" s="81">
        <f t="shared" si="4"/>
        <v>0.1</v>
      </c>
      <c r="E225" s="12">
        <f>IF(E81="Incluido IGV",F71,IF(AND(E81="Sin IGV"),H71))</f>
        <v>4.2372881355932206</v>
      </c>
      <c r="F225" s="82">
        <f t="shared" si="5"/>
        <v>0.42372881355932207</v>
      </c>
      <c r="G225" s="519"/>
      <c r="H225" s="520"/>
      <c r="I225" s="2"/>
    </row>
    <row r="226" spans="1:10" x14ac:dyDescent="0.25">
      <c r="A226" s="477" t="str">
        <f>IF(G41="NO","GASOLINA 84 OCTANOS",IF(AND(G41="SI"),"-"))</f>
        <v>GASOLINA 84 OCTANOS</v>
      </c>
      <c r="B226" s="478"/>
      <c r="C226" s="11" t="str">
        <f>IF(G41="NO","galón",IF(AND(G41="SI"),"-"))</f>
        <v>galón</v>
      </c>
      <c r="D226" s="81">
        <f>IF(G41="NO",E38,IF(AND(G41="SI"),0))</f>
        <v>0.24</v>
      </c>
      <c r="E226" s="12">
        <f>IF(E81="Incluido IGV",F72,IF(AND(E81="Sin IGV"),H72))</f>
        <v>8.1271186440677976</v>
      </c>
      <c r="F226" s="82">
        <f t="shared" si="5"/>
        <v>1.9505084745762713</v>
      </c>
      <c r="G226" s="519"/>
      <c r="H226" s="520"/>
      <c r="I226" s="2"/>
    </row>
    <row r="227" spans="1:10" x14ac:dyDescent="0.25">
      <c r="A227" s="477" t="str">
        <f>IF(G42="NO","GRASA MULTIPROPÓSITOS",IF(AND(G42="SI"),"-"))</f>
        <v>GRASA MULTIPROPÓSITOS</v>
      </c>
      <c r="B227" s="478"/>
      <c r="C227" s="11" t="str">
        <f>IF(G42="NO","kg",IF(AND(G42="SI"),"-"))</f>
        <v>kg</v>
      </c>
      <c r="D227" s="81">
        <f>IF(G42="NO",E39,IF(AND(G42="SI"),0))</f>
        <v>8.0000000000000002E-3</v>
      </c>
      <c r="E227" s="12">
        <f>IF(E81="Incluido IGV",F73,IF(AND(E81="Sin IGV"),H73))</f>
        <v>16.949152542372882</v>
      </c>
      <c r="F227" s="82">
        <f t="shared" si="5"/>
        <v>0.13559322033898305</v>
      </c>
      <c r="G227" s="474"/>
      <c r="H227" s="476"/>
      <c r="I227" s="2"/>
    </row>
    <row r="228" spans="1:10" x14ac:dyDescent="0.25">
      <c r="A228" s="470" t="s">
        <v>78</v>
      </c>
      <c r="B228" s="470"/>
      <c r="C228" s="470"/>
      <c r="D228" s="470"/>
      <c r="E228" s="470"/>
      <c r="F228" s="470"/>
      <c r="G228" s="471"/>
      <c r="H228" s="471"/>
      <c r="I228" s="2"/>
    </row>
    <row r="229" spans="1:10" x14ac:dyDescent="0.25">
      <c r="A229" s="472" t="s">
        <v>79</v>
      </c>
      <c r="B229" s="472"/>
      <c r="C229" s="11" t="s">
        <v>80</v>
      </c>
      <c r="D229" s="71">
        <f>G199</f>
        <v>0.32</v>
      </c>
      <c r="E229" s="84">
        <f>IF(E81="Incluido IGV",F78,IF(AND(E81="Sin IGV"),H78))</f>
        <v>10.16949152542373</v>
      </c>
      <c r="F229" s="85">
        <f>D229*E229</f>
        <v>3.2542372881355939</v>
      </c>
      <c r="G229" s="473" t="s">
        <v>24</v>
      </c>
      <c r="H229" s="475">
        <f>F229+F230</f>
        <v>5.4580576392955935</v>
      </c>
      <c r="I229" s="2"/>
    </row>
    <row r="230" spans="1:10" x14ac:dyDescent="0.25">
      <c r="A230" s="477" t="s">
        <v>81</v>
      </c>
      <c r="B230" s="478"/>
      <c r="C230" s="11" t="s">
        <v>82</v>
      </c>
      <c r="D230" s="86">
        <f>E60</f>
        <v>0.03</v>
      </c>
      <c r="E230" s="12">
        <f>H216</f>
        <v>73.46067837199999</v>
      </c>
      <c r="F230" s="82">
        <f>D230*E230</f>
        <v>2.2038203511599996</v>
      </c>
      <c r="G230" s="474"/>
      <c r="H230" s="476"/>
      <c r="I230" s="2"/>
      <c r="J230" s="54"/>
    </row>
    <row r="231" spans="1:10" x14ac:dyDescent="0.25">
      <c r="A231" s="2"/>
      <c r="B231" s="2"/>
      <c r="C231" s="2"/>
      <c r="D231" s="2"/>
      <c r="E231" s="2"/>
      <c r="F231" s="2"/>
      <c r="G231" s="2"/>
      <c r="H231" s="2"/>
      <c r="I231" s="2"/>
    </row>
    <row r="232" spans="1:10" x14ac:dyDescent="0.25">
      <c r="A232" s="2"/>
      <c r="B232" s="2"/>
      <c r="C232" s="2"/>
      <c r="D232" s="2"/>
      <c r="E232" s="2"/>
      <c r="F232" s="2"/>
      <c r="G232" s="2"/>
      <c r="H232" s="2"/>
      <c r="I232" s="2"/>
    </row>
    <row r="233" spans="1:10" x14ac:dyDescent="0.25">
      <c r="A233" s="2"/>
      <c r="B233" s="2"/>
      <c r="C233" s="2"/>
      <c r="D233" s="2"/>
      <c r="E233" s="2"/>
      <c r="F233" s="2"/>
      <c r="G233" s="2"/>
      <c r="H233" s="2"/>
      <c r="I233" s="2"/>
    </row>
    <row r="234" spans="1:10" ht="15.75" x14ac:dyDescent="0.25">
      <c r="A234" s="641" t="s">
        <v>173</v>
      </c>
      <c r="B234" s="641"/>
      <c r="C234" s="641"/>
      <c r="D234" s="641"/>
      <c r="E234" s="641"/>
      <c r="F234" s="2"/>
      <c r="G234" s="2"/>
      <c r="H234" s="2"/>
      <c r="I234" s="2"/>
    </row>
    <row r="235" spans="1:10" ht="15.75" x14ac:dyDescent="0.25">
      <c r="A235" s="155"/>
      <c r="B235" s="155"/>
      <c r="C235" s="155"/>
      <c r="D235" s="155"/>
      <c r="E235" s="155"/>
      <c r="F235" s="2"/>
      <c r="G235" s="2"/>
      <c r="H235" s="2"/>
      <c r="I235" s="2"/>
    </row>
    <row r="236" spans="1:10" ht="15.75" x14ac:dyDescent="0.25">
      <c r="A236" s="153"/>
      <c r="B236" s="153"/>
      <c r="C236" s="153"/>
      <c r="D236" s="153"/>
      <c r="E236" s="2"/>
      <c r="F236" s="2"/>
      <c r="G236" s="2"/>
      <c r="H236" s="2"/>
      <c r="I236" s="2"/>
    </row>
    <row r="237" spans="1:10" ht="15.75" customHeight="1" x14ac:dyDescent="0.25">
      <c r="A237" s="2"/>
      <c r="B237" s="2"/>
      <c r="C237" s="455" t="s">
        <v>171</v>
      </c>
      <c r="D237" s="455"/>
      <c r="E237" s="456" t="str">
        <f>E207</f>
        <v>MAYOR A 50 UIT</v>
      </c>
      <c r="F237" s="456"/>
      <c r="G237" s="31"/>
      <c r="H237" s="31"/>
      <c r="I237" s="31"/>
      <c r="J237" s="154"/>
    </row>
    <row r="238" spans="1:10" ht="15.75" customHeight="1" x14ac:dyDescent="0.25">
      <c r="A238" s="2"/>
      <c r="B238" s="2"/>
      <c r="C238" s="455" t="s">
        <v>172</v>
      </c>
      <c r="D238" s="455"/>
      <c r="E238" s="6" t="str">
        <f>E208</f>
        <v>SIN IGV</v>
      </c>
      <c r="F238" s="25"/>
      <c r="G238" s="2"/>
      <c r="H238" s="2"/>
      <c r="I238" s="2"/>
    </row>
    <row r="239" spans="1:10" ht="15.75" customHeight="1" x14ac:dyDescent="0.25">
      <c r="A239" s="2"/>
      <c r="B239" s="2"/>
      <c r="C239" s="77"/>
      <c r="D239" s="77"/>
      <c r="E239" s="4"/>
      <c r="F239" s="2"/>
      <c r="G239" s="2"/>
      <c r="H239" s="2"/>
      <c r="I239" s="2"/>
    </row>
    <row r="240" spans="1:10" x14ac:dyDescent="0.25">
      <c r="A240" s="2"/>
      <c r="B240" s="2"/>
      <c r="C240" s="2"/>
      <c r="D240" s="2"/>
      <c r="E240" s="2"/>
      <c r="F240" s="2"/>
      <c r="G240" s="2"/>
      <c r="H240" s="2"/>
      <c r="I240" s="2"/>
    </row>
    <row r="241" spans="1:10" x14ac:dyDescent="0.25">
      <c r="A241" s="2"/>
      <c r="B241" s="500" t="s">
        <v>46</v>
      </c>
      <c r="C241" s="501"/>
      <c r="D241" s="505" t="s">
        <v>60</v>
      </c>
      <c r="E241" s="504" t="s">
        <v>83</v>
      </c>
      <c r="F241" s="504" t="s">
        <v>84</v>
      </c>
      <c r="G241" s="458" t="s">
        <v>85</v>
      </c>
      <c r="H241" s="459"/>
      <c r="I241" s="2"/>
    </row>
    <row r="242" spans="1:10" x14ac:dyDescent="0.25">
      <c r="A242" s="2"/>
      <c r="B242" s="502"/>
      <c r="C242" s="503"/>
      <c r="D242" s="506"/>
      <c r="E242" s="504"/>
      <c r="F242" s="504"/>
      <c r="G242" s="616"/>
      <c r="H242" s="617"/>
      <c r="I242" s="2"/>
    </row>
    <row r="243" spans="1:10" x14ac:dyDescent="0.25">
      <c r="A243" s="2"/>
      <c r="B243" s="676" t="str">
        <f>C187</f>
        <v>CONCRETO PARA CIMIENTOS CORRIDOS</v>
      </c>
      <c r="C243" s="677"/>
      <c r="D243" s="460" t="s">
        <v>42</v>
      </c>
      <c r="E243" s="463">
        <f>G127</f>
        <v>6</v>
      </c>
      <c r="F243" s="466">
        <f>H213</f>
        <v>206.72517668926167</v>
      </c>
      <c r="G243" s="485" t="s">
        <v>24</v>
      </c>
      <c r="H243" s="488">
        <f>E243*F243</f>
        <v>1240.3510601355702</v>
      </c>
      <c r="I243" s="2"/>
    </row>
    <row r="244" spans="1:10" x14ac:dyDescent="0.25">
      <c r="A244" s="2"/>
      <c r="B244" s="678"/>
      <c r="C244" s="679"/>
      <c r="D244" s="461"/>
      <c r="E244" s="464"/>
      <c r="F244" s="467"/>
      <c r="G244" s="486"/>
      <c r="H244" s="489"/>
      <c r="I244" s="2"/>
    </row>
    <row r="245" spans="1:10" x14ac:dyDescent="0.25">
      <c r="A245" s="2"/>
      <c r="B245" s="680" t="str">
        <f>C189</f>
        <v>1:10 + 30% PG</v>
      </c>
      <c r="C245" s="681"/>
      <c r="D245" s="462"/>
      <c r="E245" s="465"/>
      <c r="F245" s="468"/>
      <c r="G245" s="487"/>
      <c r="H245" s="490"/>
      <c r="I245" s="2"/>
    </row>
    <row r="246" spans="1:10" x14ac:dyDescent="0.25">
      <c r="A246" s="2"/>
      <c r="B246" s="642" t="s">
        <v>174</v>
      </c>
      <c r="C246" s="643"/>
      <c r="D246" s="643"/>
      <c r="E246" s="643"/>
      <c r="F246" s="644"/>
      <c r="G246" s="645" t="s">
        <v>24</v>
      </c>
      <c r="H246" s="620">
        <f>H243</f>
        <v>1240.3510601355702</v>
      </c>
      <c r="I246" s="2"/>
    </row>
    <row r="247" spans="1:10" x14ac:dyDescent="0.25">
      <c r="A247" s="2"/>
      <c r="B247" s="87"/>
      <c r="C247" s="88" t="s">
        <v>86</v>
      </c>
      <c r="D247" s="89" t="str">
        <f>IF(E81="Incluido IGV","Costos Incluido IGV",IF(AND(E81="Sin IGV"),"Costos Sin IGV"))</f>
        <v>Costos Sin IGV</v>
      </c>
      <c r="E247" s="90"/>
      <c r="F247" s="91"/>
      <c r="G247" s="646"/>
      <c r="H247" s="621"/>
      <c r="I247" s="2"/>
    </row>
    <row r="248" spans="1:10" x14ac:dyDescent="0.25">
      <c r="A248" s="2"/>
      <c r="B248" s="2"/>
      <c r="C248" s="2"/>
      <c r="D248" s="2"/>
      <c r="E248" s="2"/>
      <c r="F248" s="2"/>
      <c r="G248" s="2"/>
      <c r="H248" s="2"/>
      <c r="I248" s="2"/>
    </row>
    <row r="249" spans="1:10" x14ac:dyDescent="0.25">
      <c r="A249" s="2"/>
      <c r="B249" s="2"/>
      <c r="C249" s="2"/>
      <c r="D249" s="2"/>
      <c r="E249" s="2"/>
      <c r="F249" s="2"/>
      <c r="G249" s="2"/>
      <c r="H249" s="2"/>
      <c r="I249" s="2"/>
    </row>
    <row r="250" spans="1:10" x14ac:dyDescent="0.25">
      <c r="A250" s="2"/>
      <c r="B250" s="2"/>
      <c r="C250" s="2"/>
      <c r="D250" s="2"/>
      <c r="E250" s="2"/>
      <c r="F250" s="2"/>
      <c r="G250" s="2"/>
      <c r="H250" s="2"/>
      <c r="I250" s="2"/>
    </row>
    <row r="251" spans="1:10" ht="15.75" x14ac:dyDescent="0.25">
      <c r="A251" s="641" t="s">
        <v>175</v>
      </c>
      <c r="B251" s="641"/>
      <c r="C251" s="641"/>
      <c r="D251" s="641"/>
      <c r="E251" s="641"/>
      <c r="F251" s="641"/>
      <c r="G251" s="641"/>
      <c r="H251" s="2"/>
      <c r="I251" s="2"/>
    </row>
    <row r="252" spans="1:10" x14ac:dyDescent="0.25">
      <c r="A252" s="2"/>
      <c r="B252" s="2"/>
      <c r="C252" s="2"/>
      <c r="D252" s="2"/>
      <c r="E252" s="2"/>
      <c r="F252" s="2"/>
      <c r="G252" s="2"/>
      <c r="H252" s="2"/>
      <c r="I252" s="2"/>
    </row>
    <row r="253" spans="1:10" ht="15.75" x14ac:dyDescent="0.25">
      <c r="A253" s="153"/>
      <c r="B253" s="153"/>
      <c r="C253" s="153"/>
      <c r="D253" s="153"/>
      <c r="E253" s="2"/>
      <c r="F253" s="2"/>
      <c r="G253" s="2"/>
      <c r="H253" s="2"/>
      <c r="I253" s="2"/>
    </row>
    <row r="254" spans="1:10" ht="15.75" customHeight="1" x14ac:dyDescent="0.25">
      <c r="A254" s="2"/>
      <c r="B254" s="2"/>
      <c r="C254" s="455" t="s">
        <v>171</v>
      </c>
      <c r="D254" s="455"/>
      <c r="E254" s="456" t="str">
        <f>E237</f>
        <v>MAYOR A 50 UIT</v>
      </c>
      <c r="F254" s="456"/>
      <c r="G254" s="31"/>
      <c r="H254" s="31"/>
      <c r="I254" s="31"/>
      <c r="J254" s="154"/>
    </row>
    <row r="255" spans="1:10" ht="15.75" customHeight="1" x14ac:dyDescent="0.25">
      <c r="A255" s="2"/>
      <c r="B255" s="2"/>
      <c r="C255" s="455" t="s">
        <v>172</v>
      </c>
      <c r="D255" s="455"/>
      <c r="E255" s="6" t="str">
        <f>E238</f>
        <v>SIN IGV</v>
      </c>
      <c r="F255" s="25"/>
      <c r="G255" s="2"/>
      <c r="H255" s="2"/>
      <c r="I255" s="2"/>
    </row>
    <row r="256" spans="1:10" ht="15.75" customHeight="1" x14ac:dyDescent="0.25">
      <c r="A256" s="2"/>
      <c r="B256" s="2"/>
      <c r="C256" s="77"/>
      <c r="D256" s="77"/>
      <c r="E256" s="4"/>
      <c r="F256" s="2"/>
      <c r="G256" s="2"/>
      <c r="H256" s="2"/>
      <c r="I256" s="2"/>
    </row>
    <row r="257" spans="1:9" x14ac:dyDescent="0.25">
      <c r="A257" s="2"/>
      <c r="B257" s="2"/>
      <c r="C257" s="2"/>
      <c r="D257" s="2"/>
      <c r="E257" s="2"/>
      <c r="F257" s="2"/>
      <c r="G257" s="2"/>
      <c r="H257" s="2"/>
      <c r="I257" s="2"/>
    </row>
    <row r="258" spans="1:9" ht="15" customHeight="1" x14ac:dyDescent="0.25">
      <c r="A258" s="2"/>
      <c r="B258" s="2"/>
      <c r="C258" s="448" t="s">
        <v>72</v>
      </c>
      <c r="D258" s="457"/>
      <c r="E258" s="458" t="s">
        <v>87</v>
      </c>
      <c r="F258" s="459"/>
      <c r="G258" s="2"/>
      <c r="H258" s="2"/>
      <c r="I258" s="2"/>
    </row>
    <row r="259" spans="1:9" x14ac:dyDescent="0.25">
      <c r="A259" s="2"/>
      <c r="B259" s="2"/>
      <c r="C259" s="446" t="s">
        <v>39</v>
      </c>
      <c r="D259" s="447"/>
      <c r="E259" s="92">
        <f>E168</f>
        <v>18.27</v>
      </c>
      <c r="F259" s="93" t="s">
        <v>35</v>
      </c>
      <c r="G259" s="2"/>
      <c r="H259" s="2"/>
      <c r="I259" s="2"/>
    </row>
    <row r="260" spans="1:9" ht="15.75" x14ac:dyDescent="0.25">
      <c r="A260" s="2"/>
      <c r="B260" s="2"/>
      <c r="C260" s="446" t="s">
        <v>40</v>
      </c>
      <c r="D260" s="447"/>
      <c r="E260" s="92">
        <f>E169</f>
        <v>5.2289999999999992</v>
      </c>
      <c r="F260" s="93" t="s">
        <v>88</v>
      </c>
      <c r="G260" s="2"/>
      <c r="H260" s="2"/>
      <c r="I260" s="2"/>
    </row>
    <row r="261" spans="1:9" ht="15.75" x14ac:dyDescent="0.25">
      <c r="A261" s="2"/>
      <c r="B261" s="2"/>
      <c r="C261" s="447" t="s">
        <v>176</v>
      </c>
      <c r="D261" s="530"/>
      <c r="E261" s="92">
        <f>E170</f>
        <v>3.024</v>
      </c>
      <c r="F261" s="93" t="s">
        <v>88</v>
      </c>
      <c r="G261" s="2"/>
      <c r="H261" s="2"/>
      <c r="I261" s="2"/>
    </row>
    <row r="262" spans="1:9" ht="15.75" x14ac:dyDescent="0.25">
      <c r="A262" s="2"/>
      <c r="B262" s="2"/>
      <c r="C262" s="446" t="s">
        <v>89</v>
      </c>
      <c r="D262" s="447"/>
      <c r="E262" s="94">
        <f>E171</f>
        <v>0.63000000000000012</v>
      </c>
      <c r="F262" s="95" t="s">
        <v>88</v>
      </c>
      <c r="G262" s="2"/>
      <c r="H262" s="2"/>
      <c r="I262" s="2"/>
    </row>
    <row r="263" spans="1:9" x14ac:dyDescent="0.25">
      <c r="A263" s="2"/>
      <c r="B263" s="2"/>
      <c r="C263" s="447" t="str">
        <f>IF(G41="NO","Gasolina de 84 octanos",IF(AND(G41="SI"),"-"))</f>
        <v>Gasolina de 84 octanos</v>
      </c>
      <c r="D263" s="530"/>
      <c r="E263" s="92">
        <f>IF(G41="NO",E38*F137,IF(AND(G41="SI"),"-"))</f>
        <v>1.512</v>
      </c>
      <c r="F263" s="95" t="str">
        <f>IF(G41="NO","galones",IF(AND(G41="SI"),"-"))</f>
        <v>galones</v>
      </c>
      <c r="G263" s="2"/>
      <c r="H263" s="60"/>
      <c r="I263" s="2"/>
    </row>
    <row r="264" spans="1:9" x14ac:dyDescent="0.25">
      <c r="A264" s="2"/>
      <c r="B264" s="2"/>
      <c r="C264" s="447" t="str">
        <f>IF(G42="NO","Grasa multipropósitos",IF(AND(G42="SI"),"-"))</f>
        <v>Grasa multipropósitos</v>
      </c>
      <c r="D264" s="530"/>
      <c r="E264" s="92">
        <f>IF(G42="NO",E39*F137,IF(AND(G42="SI"),"-"))</f>
        <v>5.04E-2</v>
      </c>
      <c r="F264" s="95" t="str">
        <f>IF(G42="NO","kg",IF(AND(G42="SI"),"-"))</f>
        <v>kg</v>
      </c>
      <c r="G264" s="2"/>
      <c r="H264" s="60"/>
      <c r="I264" s="2"/>
    </row>
    <row r="265" spans="1:9" x14ac:dyDescent="0.25">
      <c r="A265" s="2"/>
      <c r="B265" s="2"/>
      <c r="C265" s="448" t="s">
        <v>65</v>
      </c>
      <c r="D265" s="449"/>
      <c r="E265" s="450" t="s">
        <v>87</v>
      </c>
      <c r="F265" s="451"/>
      <c r="G265" s="2"/>
      <c r="H265" s="2"/>
      <c r="I265" s="2"/>
    </row>
    <row r="266" spans="1:9" x14ac:dyDescent="0.25">
      <c r="A266" s="2"/>
      <c r="B266" s="2"/>
      <c r="C266" s="446" t="s">
        <v>11</v>
      </c>
      <c r="D266" s="447"/>
      <c r="E266" s="156">
        <f>G186*E243</f>
        <v>0.192</v>
      </c>
      <c r="F266" s="157" t="s">
        <v>177</v>
      </c>
      <c r="G266" s="2"/>
      <c r="H266" s="96"/>
      <c r="I266" s="2"/>
    </row>
    <row r="267" spans="1:9" x14ac:dyDescent="0.25">
      <c r="A267" s="2"/>
      <c r="B267" s="2"/>
      <c r="C267" s="446" t="s">
        <v>12</v>
      </c>
      <c r="D267" s="447"/>
      <c r="E267" s="156">
        <f>G187*E243</f>
        <v>1.92</v>
      </c>
      <c r="F267" s="157" t="s">
        <v>177</v>
      </c>
      <c r="G267" s="2"/>
      <c r="H267" s="97"/>
      <c r="I267" s="2"/>
    </row>
    <row r="268" spans="1:9" x14ac:dyDescent="0.25">
      <c r="A268" s="2"/>
      <c r="B268" s="2"/>
      <c r="C268" s="446" t="s">
        <v>13</v>
      </c>
      <c r="D268" s="447"/>
      <c r="E268" s="156">
        <f>G188*E243</f>
        <v>3.84</v>
      </c>
      <c r="F268" s="157" t="s">
        <v>177</v>
      </c>
      <c r="G268" s="2"/>
      <c r="H268" s="97"/>
      <c r="I268" s="2"/>
    </row>
    <row r="269" spans="1:9" x14ac:dyDescent="0.25">
      <c r="A269" s="2"/>
      <c r="B269" s="2"/>
      <c r="C269" s="446" t="s">
        <v>14</v>
      </c>
      <c r="D269" s="447"/>
      <c r="E269" s="156">
        <f>G189*E243</f>
        <v>15.36</v>
      </c>
      <c r="F269" s="157" t="s">
        <v>177</v>
      </c>
      <c r="G269" s="2"/>
      <c r="H269" s="57"/>
      <c r="I269" s="2"/>
    </row>
    <row r="270" spans="1:9" x14ac:dyDescent="0.25">
      <c r="A270" s="2"/>
      <c r="B270" s="2"/>
      <c r="C270" s="446" t="s">
        <v>90</v>
      </c>
      <c r="D270" s="447"/>
      <c r="E270" s="156">
        <f>G190*E243</f>
        <v>1.92</v>
      </c>
      <c r="F270" s="157" t="s">
        <v>177</v>
      </c>
      <c r="G270" s="2"/>
      <c r="H270" s="2"/>
      <c r="I270" s="2"/>
    </row>
    <row r="271" spans="1:9" x14ac:dyDescent="0.25">
      <c r="A271" s="2"/>
      <c r="B271" s="2"/>
      <c r="C271" s="448" t="s">
        <v>91</v>
      </c>
      <c r="D271" s="449"/>
      <c r="E271" s="450" t="s">
        <v>87</v>
      </c>
      <c r="F271" s="451"/>
      <c r="G271" s="2"/>
      <c r="H271" s="2"/>
      <c r="I271" s="2"/>
    </row>
    <row r="272" spans="1:9" x14ac:dyDescent="0.25">
      <c r="A272" s="2"/>
      <c r="B272" s="2"/>
      <c r="C272" s="452" t="s">
        <v>92</v>
      </c>
      <c r="D272" s="534"/>
      <c r="E272" s="156">
        <f>G199*E243</f>
        <v>1.92</v>
      </c>
      <c r="F272" s="157" t="s">
        <v>178</v>
      </c>
      <c r="G272" s="2"/>
      <c r="H272" s="2"/>
      <c r="I272" s="2"/>
    </row>
    <row r="273" spans="1:9" x14ac:dyDescent="0.25">
      <c r="A273" s="2"/>
      <c r="B273" s="2"/>
      <c r="C273" s="2"/>
      <c r="D273" s="2"/>
      <c r="E273" s="2"/>
      <c r="F273" s="2"/>
      <c r="G273" s="2"/>
      <c r="H273" s="2"/>
      <c r="I273" s="2"/>
    </row>
  </sheetData>
  <mergeCells count="158">
    <mergeCell ref="A1:I2"/>
    <mergeCell ref="B77:C77"/>
    <mergeCell ref="E77:F77"/>
    <mergeCell ref="G77:H77"/>
    <mergeCell ref="B78:C78"/>
    <mergeCell ref="C237:D237"/>
    <mergeCell ref="E237:F237"/>
    <mergeCell ref="C238:D238"/>
    <mergeCell ref="B243:C244"/>
    <mergeCell ref="B245:C245"/>
    <mergeCell ref="F143:H143"/>
    <mergeCell ref="B145:D145"/>
    <mergeCell ref="A166:H166"/>
    <mergeCell ref="A131:C131"/>
    <mergeCell ref="B137:E137"/>
    <mergeCell ref="G121:H123"/>
    <mergeCell ref="A126:C126"/>
    <mergeCell ref="A193:D193"/>
    <mergeCell ref="C184:D185"/>
    <mergeCell ref="E184:E185"/>
    <mergeCell ref="F184:F185"/>
    <mergeCell ref="G184:G185"/>
    <mergeCell ref="C189:D189"/>
    <mergeCell ref="C187:D188"/>
    <mergeCell ref="A176:C176"/>
    <mergeCell ref="C261:D261"/>
    <mergeCell ref="C263:D263"/>
    <mergeCell ref="C264:D264"/>
    <mergeCell ref="B71:C71"/>
    <mergeCell ref="B87:G87"/>
    <mergeCell ref="B88:G88"/>
    <mergeCell ref="B89:D89"/>
    <mergeCell ref="B90:D90"/>
    <mergeCell ref="B91:D91"/>
    <mergeCell ref="B95:C95"/>
    <mergeCell ref="B96:C96"/>
    <mergeCell ref="B97:D97"/>
    <mergeCell ref="B72:C72"/>
    <mergeCell ref="B73:C73"/>
    <mergeCell ref="F81:G82"/>
    <mergeCell ref="B99:D99"/>
    <mergeCell ref="B100:D100"/>
    <mergeCell ref="B101:D101"/>
    <mergeCell ref="B103:G103"/>
    <mergeCell ref="B109:D109"/>
    <mergeCell ref="B110:D110"/>
    <mergeCell ref="B111:G111"/>
    <mergeCell ref="E115:F116"/>
    <mergeCell ref="B98:D98"/>
    <mergeCell ref="A49:H49"/>
    <mergeCell ref="A52:B53"/>
    <mergeCell ref="A15:C15"/>
    <mergeCell ref="B22:B29"/>
    <mergeCell ref="E22:H22"/>
    <mergeCell ref="G23:G24"/>
    <mergeCell ref="F23:F24"/>
    <mergeCell ref="E23:E24"/>
    <mergeCell ref="D22:D24"/>
    <mergeCell ref="C22:C24"/>
    <mergeCell ref="H23:H24"/>
    <mergeCell ref="G29:H30"/>
    <mergeCell ref="B32:B34"/>
    <mergeCell ref="G37:H40"/>
    <mergeCell ref="E16:H16"/>
    <mergeCell ref="H41:I42"/>
    <mergeCell ref="E67:F67"/>
    <mergeCell ref="A50:B51"/>
    <mergeCell ref="C50:C51"/>
    <mergeCell ref="D50:H50"/>
    <mergeCell ref="G67:H67"/>
    <mergeCell ref="B67:C67"/>
    <mergeCell ref="B68:C68"/>
    <mergeCell ref="B69:C69"/>
    <mergeCell ref="B70:C70"/>
    <mergeCell ref="A54:B54"/>
    <mergeCell ref="C52:C54"/>
    <mergeCell ref="D52:D54"/>
    <mergeCell ref="E52:E54"/>
    <mergeCell ref="F52:F54"/>
    <mergeCell ref="G52:G54"/>
    <mergeCell ref="H52:H54"/>
    <mergeCell ref="D180:E180"/>
    <mergeCell ref="C183:D183"/>
    <mergeCell ref="C196:D196"/>
    <mergeCell ref="C197:D198"/>
    <mergeCell ref="E197:E198"/>
    <mergeCell ref="F197:F198"/>
    <mergeCell ref="G197:G198"/>
    <mergeCell ref="C199:D200"/>
    <mergeCell ref="E199:E200"/>
    <mergeCell ref="F199:F200"/>
    <mergeCell ref="G199:G200"/>
    <mergeCell ref="A204:D204"/>
    <mergeCell ref="A211:B211"/>
    <mergeCell ref="C211:E211"/>
    <mergeCell ref="A214:B214"/>
    <mergeCell ref="G214:H214"/>
    <mergeCell ref="A215:H215"/>
    <mergeCell ref="E207:F207"/>
    <mergeCell ref="C207:D207"/>
    <mergeCell ref="C208:D208"/>
    <mergeCell ref="G222:G227"/>
    <mergeCell ref="H222:H227"/>
    <mergeCell ref="A216:B216"/>
    <mergeCell ref="G216:G220"/>
    <mergeCell ref="H216:H220"/>
    <mergeCell ref="A217:B217"/>
    <mergeCell ref="A218:B218"/>
    <mergeCell ref="A219:B219"/>
    <mergeCell ref="A220:B220"/>
    <mergeCell ref="C272:D272"/>
    <mergeCell ref="H246:H247"/>
    <mergeCell ref="A251:G251"/>
    <mergeCell ref="C258:D258"/>
    <mergeCell ref="E258:F258"/>
    <mergeCell ref="H243:H245"/>
    <mergeCell ref="B246:F246"/>
    <mergeCell ref="G246:G247"/>
    <mergeCell ref="B241:C242"/>
    <mergeCell ref="D241:D242"/>
    <mergeCell ref="E241:E242"/>
    <mergeCell ref="F241:F242"/>
    <mergeCell ref="G241:H242"/>
    <mergeCell ref="D243:D245"/>
    <mergeCell ref="E243:E245"/>
    <mergeCell ref="F243:F245"/>
    <mergeCell ref="G243:G245"/>
    <mergeCell ref="C267:D267"/>
    <mergeCell ref="C268:D268"/>
    <mergeCell ref="C269:D269"/>
    <mergeCell ref="C270:D270"/>
    <mergeCell ref="C271:D271"/>
    <mergeCell ref="E271:F271"/>
    <mergeCell ref="C259:D259"/>
    <mergeCell ref="C260:D260"/>
    <mergeCell ref="C262:D262"/>
    <mergeCell ref="C265:D265"/>
    <mergeCell ref="E265:F265"/>
    <mergeCell ref="C266:D266"/>
    <mergeCell ref="C254:D254"/>
    <mergeCell ref="E254:F254"/>
    <mergeCell ref="C255:D255"/>
    <mergeCell ref="D63:G63"/>
    <mergeCell ref="B81:D81"/>
    <mergeCell ref="B115:C115"/>
    <mergeCell ref="A234:E234"/>
    <mergeCell ref="A228:H228"/>
    <mergeCell ref="A229:B229"/>
    <mergeCell ref="G229:G230"/>
    <mergeCell ref="H229:H230"/>
    <mergeCell ref="A230:B230"/>
    <mergeCell ref="A221:H221"/>
    <mergeCell ref="A222:B222"/>
    <mergeCell ref="A223:B223"/>
    <mergeCell ref="A225:B225"/>
    <mergeCell ref="A226:B226"/>
    <mergeCell ref="A227:B227"/>
    <mergeCell ref="A224:B224"/>
  </mergeCells>
  <dataValidations count="5">
    <dataValidation type="list" allowBlank="1" showInputMessage="1" showErrorMessage="1" sqref="F29" xr:uid="{00000000-0002-0000-0100-000000000000}">
      <formula1>$C$25:$C$26</formula1>
    </dataValidation>
    <dataValidation type="list" allowBlank="1" showInputMessage="1" showErrorMessage="1" sqref="E81" xr:uid="{00000000-0002-0000-0100-000001000000}">
      <formula1>$A$67:$A$68</formula1>
    </dataValidation>
    <dataValidation type="list" allowBlank="1" showInputMessage="1" showErrorMessage="1" sqref="D115" xr:uid="{00000000-0002-0000-0100-000002000000}">
      <formula1>$A$115:$A$116</formula1>
    </dataValidation>
    <dataValidation type="list" allowBlank="1" showInputMessage="1" showErrorMessage="1" sqref="G41:G42" xr:uid="{00000000-0002-0000-0100-000003000000}">
      <formula1>$B$38:$B$39</formula1>
    </dataValidation>
    <dataValidation type="list" allowBlank="1" showInputMessage="1" showErrorMessage="1" sqref="G43" xr:uid="{00000000-0002-0000-0100-000004000000}">
      <formula1>$B$49:$B$50</formula1>
    </dataValidation>
  </dataValidations>
  <pageMargins left="0.7" right="0.7" top="0.75" bottom="0.75" header="0.3" footer="0.3"/>
  <pageSetup scale="86" orientation="portrait" r:id="rId1"/>
  <colBreaks count="1" manualBreakCount="1">
    <brk id="9" max="272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198E0"/>
  </sheetPr>
  <dimension ref="A1:R340"/>
  <sheetViews>
    <sheetView workbookViewId="0">
      <selection activeCell="K18" sqref="K18"/>
    </sheetView>
  </sheetViews>
  <sheetFormatPr baseColWidth="10" defaultRowHeight="15" x14ac:dyDescent="0.25"/>
  <cols>
    <col min="1" max="1" width="7.7109375" customWidth="1"/>
    <col min="2" max="2" width="11.42578125" customWidth="1"/>
    <col min="3" max="3" width="12.7109375" customWidth="1"/>
    <col min="4" max="4" width="12" customWidth="1"/>
    <col min="5" max="5" width="12.7109375" customWidth="1"/>
    <col min="6" max="6" width="13.42578125" customWidth="1"/>
    <col min="7" max="7" width="11.5703125" customWidth="1"/>
    <col min="8" max="8" width="11.42578125" customWidth="1"/>
  </cols>
  <sheetData>
    <row r="1" spans="1:9" ht="15" customHeight="1" x14ac:dyDescent="0.25">
      <c r="A1" s="1"/>
      <c r="B1" s="663" t="s">
        <v>445</v>
      </c>
      <c r="C1" s="664"/>
      <c r="D1" s="664"/>
      <c r="E1" s="664"/>
      <c r="F1" s="664"/>
      <c r="G1" s="665"/>
      <c r="H1" s="2"/>
      <c r="I1" s="2"/>
    </row>
    <row r="2" spans="1:9" ht="15" customHeight="1" thickBot="1" x14ac:dyDescent="0.3">
      <c r="A2" s="3"/>
      <c r="B2" s="666"/>
      <c r="C2" s="667"/>
      <c r="D2" s="667"/>
      <c r="E2" s="667"/>
      <c r="F2" s="667"/>
      <c r="G2" s="668"/>
      <c r="H2" s="2"/>
      <c r="I2" s="2"/>
    </row>
    <row r="3" spans="1:9" ht="15" customHeight="1" x14ac:dyDescent="0.25">
      <c r="A3" s="3"/>
      <c r="B3" s="163"/>
      <c r="C3" s="163"/>
      <c r="D3" s="163"/>
      <c r="E3" s="163"/>
      <c r="F3" s="163"/>
      <c r="G3" s="163"/>
      <c r="H3" s="2"/>
      <c r="I3" s="2"/>
    </row>
    <row r="4" spans="1:9" ht="15" customHeight="1" x14ac:dyDescent="0.25">
      <c r="A4" s="3"/>
      <c r="B4" s="163"/>
      <c r="C4" s="163"/>
      <c r="D4" s="163"/>
      <c r="E4" s="163"/>
      <c r="F4" s="163"/>
      <c r="G4" s="163"/>
      <c r="H4" s="2"/>
      <c r="I4" s="2"/>
    </row>
    <row r="5" spans="1:9" ht="15" customHeight="1" x14ac:dyDescent="0.25">
      <c r="A5" s="3"/>
      <c r="B5" s="163"/>
      <c r="C5" s="163"/>
      <c r="D5" s="163"/>
      <c r="E5" s="163"/>
      <c r="F5" s="163"/>
      <c r="G5" s="163"/>
      <c r="H5" s="2"/>
      <c r="I5" s="2"/>
    </row>
    <row r="6" spans="1:9" ht="15" customHeight="1" x14ac:dyDescent="0.25">
      <c r="A6" s="3"/>
      <c r="B6" s="163"/>
      <c r="C6" s="163"/>
      <c r="D6" s="163"/>
      <c r="E6" s="163"/>
      <c r="F6" s="163"/>
      <c r="G6" s="163"/>
      <c r="H6" s="2"/>
      <c r="I6" s="2"/>
    </row>
    <row r="7" spans="1:9" ht="15" customHeight="1" x14ac:dyDescent="0.25">
      <c r="A7" s="3"/>
      <c r="B7" s="163"/>
      <c r="C7" s="163"/>
      <c r="D7" s="163"/>
      <c r="E7" s="163"/>
      <c r="F7" s="163"/>
      <c r="G7" s="163"/>
      <c r="H7" s="2"/>
      <c r="I7" s="2"/>
    </row>
    <row r="8" spans="1:9" ht="15" customHeight="1" x14ac:dyDescent="0.25">
      <c r="A8" s="3"/>
      <c r="B8" s="163"/>
      <c r="C8" s="163"/>
      <c r="D8" s="163"/>
      <c r="E8" s="163"/>
      <c r="F8" s="163"/>
      <c r="G8" s="163"/>
      <c r="H8" s="2"/>
      <c r="I8" s="2"/>
    </row>
    <row r="9" spans="1:9" ht="15" customHeight="1" x14ac:dyDescent="0.25">
      <c r="A9" s="3"/>
      <c r="B9" s="163"/>
      <c r="C9" s="163"/>
      <c r="D9" s="163"/>
      <c r="E9" s="163"/>
      <c r="F9" s="163"/>
      <c r="G9" s="163"/>
      <c r="H9" s="2"/>
      <c r="I9" s="2"/>
    </row>
    <row r="10" spans="1:9" ht="15" customHeight="1" x14ac:dyDescent="0.25">
      <c r="A10" s="3"/>
      <c r="B10" s="163"/>
      <c r="C10" s="163"/>
      <c r="D10" s="163"/>
      <c r="E10" s="163"/>
      <c r="F10" s="163"/>
      <c r="G10" s="163"/>
      <c r="H10" s="2"/>
      <c r="I10" s="2"/>
    </row>
    <row r="11" spans="1:9" ht="15" customHeight="1" x14ac:dyDescent="0.25">
      <c r="A11" s="3"/>
      <c r="B11" s="163"/>
      <c r="C11" s="163"/>
      <c r="D11" s="163"/>
      <c r="E11" s="163"/>
      <c r="F11" s="163"/>
      <c r="G11" s="163"/>
      <c r="H11" s="2"/>
      <c r="I11" s="2"/>
    </row>
    <row r="12" spans="1:9" ht="15" customHeight="1" x14ac:dyDescent="0.25">
      <c r="A12" s="3"/>
      <c r="B12" s="163"/>
      <c r="C12" s="163"/>
      <c r="D12" s="163"/>
      <c r="E12" s="163"/>
      <c r="F12" s="163"/>
      <c r="G12" s="163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ht="15.75" x14ac:dyDescent="0.25">
      <c r="A15" s="669" t="s">
        <v>0</v>
      </c>
      <c r="B15" s="669"/>
      <c r="C15" s="669"/>
      <c r="D15" s="2"/>
      <c r="E15" s="162"/>
      <c r="F15" s="162"/>
      <c r="G15" s="162"/>
      <c r="H15" s="162"/>
      <c r="I15" s="2"/>
    </row>
    <row r="16" spans="1:9" x14ac:dyDescent="0.25">
      <c r="A16" s="2"/>
      <c r="B16" s="2"/>
      <c r="C16" s="2"/>
      <c r="D16" s="2"/>
      <c r="E16" s="566" t="s">
        <v>321</v>
      </c>
      <c r="F16" s="566"/>
      <c r="G16" s="566"/>
      <c r="H16" s="566"/>
      <c r="I16" s="2"/>
    </row>
    <row r="17" spans="1:9" ht="15.75" x14ac:dyDescent="0.25">
      <c r="A17" s="5" t="s">
        <v>1</v>
      </c>
      <c r="B17" s="2"/>
      <c r="C17" s="2"/>
      <c r="D17" s="2"/>
      <c r="E17" s="2"/>
      <c r="F17" s="2"/>
      <c r="G17" s="2"/>
      <c r="H17" s="2"/>
      <c r="I17" s="2"/>
    </row>
    <row r="18" spans="1:9" ht="15.75" x14ac:dyDescent="0.25">
      <c r="A18" s="5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100" t="s">
        <v>113</v>
      </c>
      <c r="C19" s="101"/>
      <c r="D19" s="101"/>
      <c r="E19" s="104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6" t="s">
        <v>95</v>
      </c>
      <c r="D21" s="6"/>
      <c r="E21" s="6"/>
      <c r="F21" s="6"/>
      <c r="G21" s="6"/>
      <c r="H21" s="6"/>
      <c r="I21" s="6"/>
    </row>
    <row r="22" spans="1:9" ht="15" customHeight="1" x14ac:dyDescent="0.25">
      <c r="A22" s="2"/>
      <c r="B22" s="545" t="s">
        <v>446</v>
      </c>
      <c r="C22" s="649" t="s">
        <v>98</v>
      </c>
      <c r="D22" s="649" t="s">
        <v>2</v>
      </c>
      <c r="E22" s="648" t="s">
        <v>99</v>
      </c>
      <c r="F22" s="648"/>
      <c r="G22" s="648"/>
      <c r="H22" s="648"/>
      <c r="I22" s="2"/>
    </row>
    <row r="23" spans="1:9" ht="15.75" customHeight="1" x14ac:dyDescent="0.25">
      <c r="A23" s="2"/>
      <c r="B23" s="545"/>
      <c r="C23" s="670"/>
      <c r="D23" s="670"/>
      <c r="E23" s="649" t="s">
        <v>101</v>
      </c>
      <c r="F23" s="649" t="s">
        <v>100</v>
      </c>
      <c r="G23" s="649" t="s">
        <v>102</v>
      </c>
      <c r="H23" s="671" t="s">
        <v>3</v>
      </c>
      <c r="I23" s="2"/>
    </row>
    <row r="24" spans="1:9" ht="15.75" customHeight="1" x14ac:dyDescent="0.25">
      <c r="A24" s="2"/>
      <c r="B24" s="545"/>
      <c r="C24" s="650"/>
      <c r="D24" s="650"/>
      <c r="E24" s="650"/>
      <c r="F24" s="650"/>
      <c r="G24" s="650"/>
      <c r="H24" s="672"/>
      <c r="I24" s="2"/>
    </row>
    <row r="25" spans="1:9" ht="15" customHeight="1" x14ac:dyDescent="0.25">
      <c r="A25" s="7"/>
      <c r="B25" s="545"/>
      <c r="C25" s="8" t="s">
        <v>447</v>
      </c>
      <c r="D25" s="9">
        <v>0.8</v>
      </c>
      <c r="E25" s="10">
        <v>3.7</v>
      </c>
      <c r="F25" s="11">
        <v>0.85</v>
      </c>
      <c r="G25" s="12">
        <v>0.42</v>
      </c>
      <c r="H25" s="11">
        <v>0.13</v>
      </c>
      <c r="I25" s="2"/>
    </row>
    <row r="26" spans="1:9" x14ac:dyDescent="0.25">
      <c r="A26" s="7"/>
      <c r="B26" s="545"/>
      <c r="C26" s="8" t="s">
        <v>448</v>
      </c>
      <c r="D26" s="9">
        <v>0.8</v>
      </c>
      <c r="E26" s="11">
        <v>2.9</v>
      </c>
      <c r="F26" s="11">
        <v>0.83</v>
      </c>
      <c r="G26" s="11">
        <v>0.48</v>
      </c>
      <c r="H26" s="12">
        <v>0.1</v>
      </c>
      <c r="I26" s="2"/>
    </row>
    <row r="27" spans="1:9" x14ac:dyDescent="0.25">
      <c r="A27" s="7"/>
      <c r="B27" s="545"/>
      <c r="C27" s="99" t="s">
        <v>449</v>
      </c>
      <c r="D27" s="13"/>
      <c r="E27" s="14"/>
      <c r="F27" s="2"/>
      <c r="G27" s="2"/>
      <c r="H27" s="2"/>
      <c r="I27" s="2"/>
    </row>
    <row r="28" spans="1:9" x14ac:dyDescent="0.25">
      <c r="A28" s="7"/>
      <c r="B28" s="545"/>
      <c r="C28" s="98"/>
      <c r="D28" s="13"/>
      <c r="E28" s="14"/>
      <c r="F28" s="2"/>
      <c r="G28" s="2"/>
      <c r="H28" s="2"/>
      <c r="I28" s="2"/>
    </row>
    <row r="29" spans="1:9" x14ac:dyDescent="0.25">
      <c r="A29" s="15"/>
      <c r="B29" s="545"/>
      <c r="C29" s="2" t="s">
        <v>104</v>
      </c>
      <c r="D29" s="2"/>
      <c r="E29" s="2"/>
      <c r="F29" s="16" t="s">
        <v>447</v>
      </c>
      <c r="G29" s="673" t="s">
        <v>105</v>
      </c>
      <c r="H29" s="673"/>
      <c r="I29" s="2"/>
    </row>
    <row r="30" spans="1:9" x14ac:dyDescent="0.25">
      <c r="A30" s="2"/>
      <c r="B30" s="18"/>
      <c r="C30" s="2"/>
      <c r="D30" s="2"/>
      <c r="E30" s="19"/>
      <c r="F30" s="2"/>
      <c r="G30" s="673"/>
      <c r="H30" s="673"/>
      <c r="I30" s="2"/>
    </row>
    <row r="31" spans="1:9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" customHeight="1" x14ac:dyDescent="0.25">
      <c r="A32" s="2"/>
      <c r="B32" s="545" t="s">
        <v>4</v>
      </c>
      <c r="C32" s="2"/>
      <c r="D32" s="2"/>
      <c r="E32" s="2"/>
      <c r="F32" s="2"/>
      <c r="G32" s="2"/>
      <c r="H32" s="2"/>
      <c r="I32" s="2"/>
    </row>
    <row r="33" spans="1:9" ht="15" customHeight="1" x14ac:dyDescent="0.25">
      <c r="A33" s="2"/>
      <c r="B33" s="545"/>
      <c r="C33" s="2" t="s">
        <v>450</v>
      </c>
      <c r="D33" s="2"/>
      <c r="E33" s="2"/>
      <c r="F33" s="20">
        <v>0.05</v>
      </c>
      <c r="G33" s="2"/>
      <c r="H33" s="2"/>
      <c r="I33" s="2"/>
    </row>
    <row r="34" spans="1:9" x14ac:dyDescent="0.25">
      <c r="A34" s="2"/>
      <c r="B34" s="545"/>
      <c r="C34" s="7"/>
      <c r="D34" s="2"/>
      <c r="E34" s="2"/>
      <c r="F34" s="2"/>
      <c r="G34" s="2"/>
      <c r="H34" s="2"/>
      <c r="I34" s="2"/>
    </row>
    <row r="35" spans="1:9" x14ac:dyDescent="0.25">
      <c r="A35" s="2"/>
      <c r="B35" s="18"/>
      <c r="C35" s="7"/>
      <c r="D35" s="2"/>
      <c r="E35" s="2"/>
      <c r="F35" s="2"/>
      <c r="G35" s="2"/>
      <c r="H35" s="2"/>
      <c r="I35" s="2"/>
    </row>
    <row r="36" spans="1:9" x14ac:dyDescent="0.25">
      <c r="A36" s="2"/>
      <c r="B36" s="100" t="s">
        <v>107</v>
      </c>
      <c r="C36" s="101"/>
      <c r="D36" s="101"/>
      <c r="E36" s="2"/>
      <c r="F36" s="2"/>
      <c r="G36" s="2"/>
      <c r="H36" s="2"/>
      <c r="I36" s="2"/>
    </row>
    <row r="37" spans="1:9" x14ac:dyDescent="0.25">
      <c r="A37" s="2"/>
      <c r="B37" s="2"/>
      <c r="C37" s="2"/>
      <c r="D37" s="2"/>
      <c r="E37" s="2"/>
      <c r="F37" s="2"/>
      <c r="G37" s="674" t="s">
        <v>110</v>
      </c>
      <c r="H37" s="674"/>
      <c r="I37" s="2"/>
    </row>
    <row r="38" spans="1:9" ht="15" customHeight="1" x14ac:dyDescent="0.25">
      <c r="A38" s="2"/>
      <c r="B38" s="28" t="s">
        <v>147</v>
      </c>
      <c r="C38" s="6" t="s">
        <v>108</v>
      </c>
      <c r="D38" s="2"/>
      <c r="E38" s="102">
        <v>0.24</v>
      </c>
      <c r="F38" s="2" t="s">
        <v>109</v>
      </c>
      <c r="G38" s="674"/>
      <c r="H38" s="674"/>
      <c r="I38" s="2"/>
    </row>
    <row r="39" spans="1:9" ht="15.75" x14ac:dyDescent="0.25">
      <c r="A39" s="2"/>
      <c r="B39" s="257" t="s">
        <v>148</v>
      </c>
      <c r="C39" s="6" t="s">
        <v>111</v>
      </c>
      <c r="D39" s="2"/>
      <c r="E39" s="103">
        <v>8.0000000000000002E-3</v>
      </c>
      <c r="F39" s="2" t="s">
        <v>112</v>
      </c>
      <c r="G39" s="674"/>
      <c r="H39" s="674"/>
      <c r="I39" s="2"/>
    </row>
    <row r="40" spans="1:9" x14ac:dyDescent="0.25">
      <c r="A40" s="2"/>
      <c r="B40" s="2"/>
      <c r="C40" s="2"/>
      <c r="D40" s="2"/>
      <c r="E40" s="2"/>
      <c r="F40" s="2"/>
      <c r="G40" s="674"/>
      <c r="H40" s="674"/>
      <c r="I40" s="2"/>
    </row>
    <row r="41" spans="1:9" ht="15" customHeight="1" x14ac:dyDescent="0.25">
      <c r="A41" s="2"/>
      <c r="B41" s="2"/>
      <c r="C41" s="25" t="s">
        <v>345</v>
      </c>
      <c r="D41" s="2"/>
      <c r="E41" s="2"/>
      <c r="F41" s="2"/>
      <c r="G41" s="258" t="s">
        <v>148</v>
      </c>
      <c r="H41" s="675" t="s">
        <v>347</v>
      </c>
      <c r="I41" s="675"/>
    </row>
    <row r="42" spans="1:9" x14ac:dyDescent="0.25">
      <c r="A42" s="2"/>
      <c r="B42" s="2"/>
      <c r="C42" s="25" t="s">
        <v>346</v>
      </c>
      <c r="D42" s="2"/>
      <c r="E42" s="2"/>
      <c r="F42" s="2"/>
      <c r="G42" s="258" t="s">
        <v>148</v>
      </c>
      <c r="H42" s="675"/>
      <c r="I42" s="675"/>
    </row>
    <row r="43" spans="1:9" x14ac:dyDescent="0.25">
      <c r="A43" s="2"/>
      <c r="B43" s="2"/>
      <c r="C43" s="25"/>
      <c r="D43" s="2"/>
      <c r="E43" s="2"/>
      <c r="F43" s="2"/>
      <c r="G43" s="283"/>
      <c r="H43" s="262"/>
      <c r="I43" s="262"/>
    </row>
    <row r="44" spans="1:9" x14ac:dyDescent="0.25">
      <c r="A44" s="2"/>
      <c r="B44" s="2"/>
      <c r="C44" s="282" t="s">
        <v>395</v>
      </c>
      <c r="D44" s="2"/>
      <c r="E44" s="2"/>
      <c r="F44" s="2"/>
      <c r="G44" s="2"/>
      <c r="H44" s="2"/>
      <c r="I44" s="2"/>
    </row>
    <row r="45" spans="1:9" x14ac:dyDescent="0.25">
      <c r="A45" s="2"/>
      <c r="B45" s="22"/>
      <c r="C45" s="2"/>
      <c r="D45" s="2"/>
      <c r="E45" s="2"/>
      <c r="F45" s="2"/>
      <c r="G45" s="2"/>
      <c r="H45" s="2"/>
      <c r="I45" s="2"/>
    </row>
    <row r="46" spans="1:9" x14ac:dyDescent="0.25">
      <c r="A46" s="2"/>
      <c r="B46" s="22"/>
      <c r="C46" s="2"/>
      <c r="D46" s="2"/>
      <c r="E46" s="2"/>
      <c r="F46" s="2"/>
      <c r="G46" s="2"/>
      <c r="H46" s="2"/>
      <c r="I46" s="2"/>
    </row>
    <row r="47" spans="1:9" x14ac:dyDescent="0.25">
      <c r="A47" s="2"/>
      <c r="B47" s="100" t="s">
        <v>451</v>
      </c>
      <c r="C47" s="101"/>
      <c r="D47" s="101"/>
      <c r="E47" s="101"/>
      <c r="F47" s="2"/>
      <c r="G47" s="2"/>
      <c r="H47" s="2"/>
      <c r="I47" s="2"/>
    </row>
    <row r="48" spans="1:9" ht="15" customHeight="1" x14ac:dyDescent="0.25">
      <c r="A48" s="2"/>
      <c r="B48" s="2"/>
      <c r="C48" s="2"/>
      <c r="D48" s="188"/>
      <c r="E48" s="188"/>
      <c r="F48" s="188"/>
      <c r="G48" s="2"/>
      <c r="H48" s="2"/>
      <c r="I48" s="2"/>
    </row>
    <row r="49" spans="1:9" ht="15" customHeight="1" x14ac:dyDescent="0.25">
      <c r="A49" s="2"/>
      <c r="B49" s="2"/>
      <c r="C49" s="6" t="s">
        <v>219</v>
      </c>
      <c r="D49" s="2"/>
      <c r="E49" s="102">
        <v>3.35</v>
      </c>
      <c r="F49" s="2" t="s">
        <v>293</v>
      </c>
      <c r="G49" s="2"/>
      <c r="H49" s="533" t="s">
        <v>220</v>
      </c>
      <c r="I49" s="2"/>
    </row>
    <row r="50" spans="1:9" ht="15" customHeight="1" x14ac:dyDescent="0.25">
      <c r="A50" s="2"/>
      <c r="B50" s="2"/>
      <c r="C50" s="6" t="s">
        <v>221</v>
      </c>
      <c r="D50" s="2"/>
      <c r="E50" s="102">
        <v>0.16</v>
      </c>
      <c r="F50" s="2" t="s">
        <v>294</v>
      </c>
      <c r="G50" s="2"/>
      <c r="H50" s="533"/>
      <c r="I50" s="2"/>
    </row>
    <row r="51" spans="1:9" ht="15.75" customHeight="1" x14ac:dyDescent="0.25">
      <c r="A51" s="2"/>
      <c r="B51" s="2"/>
      <c r="C51" s="6" t="s">
        <v>414</v>
      </c>
      <c r="D51" s="2"/>
      <c r="E51" s="102">
        <v>0.26</v>
      </c>
      <c r="F51" s="2" t="s">
        <v>294</v>
      </c>
      <c r="G51" s="2"/>
      <c r="H51" s="533"/>
      <c r="I51" s="2"/>
    </row>
    <row r="52" spans="1:9" ht="15" customHeight="1" x14ac:dyDescent="0.25">
      <c r="A52" s="2"/>
      <c r="B52" s="2"/>
      <c r="C52" s="6"/>
      <c r="D52" s="2"/>
      <c r="E52" s="189"/>
      <c r="F52" s="2"/>
      <c r="G52" s="2"/>
      <c r="H52" s="2"/>
      <c r="I52" s="2"/>
    </row>
    <row r="53" spans="1:9" x14ac:dyDescent="0.25">
      <c r="A53" s="2"/>
      <c r="B53" s="22"/>
      <c r="C53" s="2"/>
      <c r="D53" s="2"/>
      <c r="E53" s="2"/>
      <c r="F53" s="2"/>
      <c r="G53" s="2"/>
      <c r="H53" s="2"/>
      <c r="I53" s="2"/>
    </row>
    <row r="54" spans="1:9" ht="15.75" x14ac:dyDescent="0.25">
      <c r="A54" s="5" t="s">
        <v>5</v>
      </c>
      <c r="B54" s="2"/>
      <c r="C54" s="2"/>
      <c r="D54" s="2"/>
      <c r="E54" s="2"/>
      <c r="F54" s="2"/>
      <c r="G54" s="2"/>
      <c r="H54" s="2"/>
      <c r="I54" s="2"/>
    </row>
    <row r="55" spans="1:9" x14ac:dyDescent="0.25">
      <c r="A55" s="23"/>
      <c r="B55" s="24" t="s">
        <v>6</v>
      </c>
      <c r="C55" s="24">
        <v>8</v>
      </c>
      <c r="D55" s="25" t="s">
        <v>7</v>
      </c>
      <c r="E55" s="2"/>
      <c r="F55" s="2"/>
      <c r="G55" s="2"/>
      <c r="H55" s="2"/>
      <c r="I55" s="2"/>
    </row>
    <row r="56" spans="1:9" x14ac:dyDescent="0.25">
      <c r="A56" s="658" t="s">
        <v>8</v>
      </c>
      <c r="B56" s="658"/>
      <c r="C56" s="658"/>
      <c r="D56" s="658"/>
      <c r="E56" s="658"/>
      <c r="F56" s="658"/>
      <c r="G56" s="658"/>
      <c r="H56" s="658"/>
      <c r="I56" s="2"/>
    </row>
    <row r="57" spans="1:9" ht="15" customHeight="1" x14ac:dyDescent="0.25">
      <c r="A57" s="648" t="s">
        <v>9</v>
      </c>
      <c r="B57" s="648"/>
      <c r="C57" s="709" t="s">
        <v>223</v>
      </c>
      <c r="D57" s="710"/>
      <c r="E57" s="651" t="s">
        <v>10</v>
      </c>
      <c r="F57" s="652"/>
      <c r="G57" s="652"/>
      <c r="H57" s="652"/>
      <c r="I57" s="653"/>
    </row>
    <row r="58" spans="1:9" x14ac:dyDescent="0.25">
      <c r="A58" s="649"/>
      <c r="B58" s="649"/>
      <c r="C58" s="711"/>
      <c r="D58" s="712"/>
      <c r="E58" s="137" t="s">
        <v>11</v>
      </c>
      <c r="F58" s="137" t="s">
        <v>12</v>
      </c>
      <c r="G58" s="137" t="s">
        <v>13</v>
      </c>
      <c r="H58" s="137" t="s">
        <v>14</v>
      </c>
      <c r="I58" s="137" t="s">
        <v>15</v>
      </c>
    </row>
    <row r="59" spans="1:9" ht="15" customHeight="1" x14ac:dyDescent="0.25">
      <c r="A59" s="713" t="s">
        <v>452</v>
      </c>
      <c r="B59" s="714"/>
      <c r="C59" s="551">
        <v>12</v>
      </c>
      <c r="D59" s="705" t="s">
        <v>453</v>
      </c>
      <c r="E59" s="708">
        <v>0.1</v>
      </c>
      <c r="F59" s="657">
        <v>1</v>
      </c>
      <c r="G59" s="657">
        <v>2</v>
      </c>
      <c r="H59" s="657">
        <v>8</v>
      </c>
      <c r="I59" s="657">
        <v>1</v>
      </c>
    </row>
    <row r="60" spans="1:9" x14ac:dyDescent="0.25">
      <c r="A60" s="715"/>
      <c r="B60" s="716"/>
      <c r="C60" s="558"/>
      <c r="D60" s="706"/>
      <c r="E60" s="708"/>
      <c r="F60" s="657"/>
      <c r="G60" s="657"/>
      <c r="H60" s="657"/>
      <c r="I60" s="657"/>
    </row>
    <row r="61" spans="1:9" x14ac:dyDescent="0.25">
      <c r="A61" s="697" t="str">
        <f>F29</f>
        <v>1:8 + 25% PM</v>
      </c>
      <c r="B61" s="698"/>
      <c r="C61" s="558"/>
      <c r="D61" s="706"/>
      <c r="E61" s="708"/>
      <c r="F61" s="657"/>
      <c r="G61" s="657"/>
      <c r="H61" s="657"/>
      <c r="I61" s="657"/>
    </row>
    <row r="62" spans="1:9" ht="15" customHeight="1" x14ac:dyDescent="0.25">
      <c r="A62" s="699" t="s">
        <v>454</v>
      </c>
      <c r="B62" s="700"/>
      <c r="C62" s="551">
        <v>16</v>
      </c>
      <c r="D62" s="705" t="s">
        <v>455</v>
      </c>
      <c r="E62" s="708">
        <v>0.1</v>
      </c>
      <c r="F62" s="657">
        <v>1</v>
      </c>
      <c r="G62" s="657">
        <v>1</v>
      </c>
      <c r="H62" s="657">
        <v>0</v>
      </c>
      <c r="I62" s="657">
        <v>0</v>
      </c>
    </row>
    <row r="63" spans="1:9" x14ac:dyDescent="0.25">
      <c r="A63" s="701"/>
      <c r="B63" s="702"/>
      <c r="C63" s="558"/>
      <c r="D63" s="706"/>
      <c r="E63" s="708"/>
      <c r="F63" s="657"/>
      <c r="G63" s="657"/>
      <c r="H63" s="657"/>
      <c r="I63" s="657"/>
    </row>
    <row r="64" spans="1:9" x14ac:dyDescent="0.25">
      <c r="A64" s="703"/>
      <c r="B64" s="704"/>
      <c r="C64" s="552"/>
      <c r="D64" s="707"/>
      <c r="E64" s="708"/>
      <c r="F64" s="657"/>
      <c r="G64" s="657"/>
      <c r="H64" s="657"/>
      <c r="I64" s="657"/>
    </row>
    <row r="65" spans="1:9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5" t="s">
        <v>16</v>
      </c>
      <c r="B67" s="2"/>
      <c r="C67" s="2"/>
      <c r="D67" s="2"/>
      <c r="E67" s="2"/>
      <c r="F67" s="2"/>
      <c r="G67" s="2"/>
      <c r="H67" s="2"/>
      <c r="I67" s="2"/>
    </row>
    <row r="68" spans="1:9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5">
      <c r="A69" s="2"/>
      <c r="B69" s="6" t="s">
        <v>17</v>
      </c>
      <c r="C69" s="2"/>
      <c r="D69" s="2"/>
      <c r="E69" s="17">
        <v>1</v>
      </c>
      <c r="F69" s="2" t="s">
        <v>18</v>
      </c>
      <c r="G69" s="2"/>
      <c r="H69" s="2"/>
      <c r="I69" s="2"/>
    </row>
    <row r="70" spans="1:9" x14ac:dyDescent="0.25">
      <c r="A70" s="2"/>
      <c r="B70" s="6" t="s">
        <v>19</v>
      </c>
      <c r="C70" s="2"/>
      <c r="D70" s="2"/>
      <c r="E70" s="20">
        <v>0.03</v>
      </c>
      <c r="F70" s="2" t="s">
        <v>20</v>
      </c>
      <c r="G70" s="27" t="s">
        <v>21</v>
      </c>
      <c r="H70" s="27"/>
      <c r="I70" s="27"/>
    </row>
    <row r="71" spans="1:9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5" t="s">
        <v>22</v>
      </c>
      <c r="B73" s="2"/>
      <c r="C73" s="2"/>
      <c r="D73" s="566" t="s">
        <v>322</v>
      </c>
      <c r="E73" s="566"/>
      <c r="F73" s="566"/>
      <c r="G73" s="566"/>
      <c r="H73" s="162"/>
    </row>
    <row r="74" spans="1:9" ht="15.75" x14ac:dyDescent="0.25">
      <c r="A74" s="5"/>
      <c r="B74" s="2"/>
      <c r="C74" s="2"/>
      <c r="D74" s="2"/>
      <c r="E74" s="108"/>
      <c r="F74" s="2"/>
      <c r="G74" s="2"/>
      <c r="H74" s="2"/>
      <c r="I74" s="2"/>
    </row>
    <row r="75" spans="1:9" ht="15.75" x14ac:dyDescent="0.25">
      <c r="A75" s="5"/>
      <c r="B75" s="100" t="s">
        <v>143</v>
      </c>
      <c r="C75" s="101"/>
      <c r="D75" s="2"/>
      <c r="E75" s="27" t="s">
        <v>118</v>
      </c>
      <c r="F75" s="2"/>
      <c r="G75" s="2"/>
      <c r="H75" s="2"/>
      <c r="I75" s="2"/>
    </row>
    <row r="76" spans="1:9" x14ac:dyDescent="0.25">
      <c r="A76" s="22"/>
      <c r="B76" s="18"/>
      <c r="C76" s="107"/>
      <c r="D76" s="107"/>
      <c r="E76" s="107"/>
      <c r="F76" s="107"/>
      <c r="G76" s="2"/>
      <c r="H76" s="2"/>
      <c r="I76" s="2"/>
    </row>
    <row r="77" spans="1:9" x14ac:dyDescent="0.25">
      <c r="A77" s="28" t="s">
        <v>119</v>
      </c>
      <c r="B77" s="573" t="s">
        <v>23</v>
      </c>
      <c r="C77" s="574"/>
      <c r="D77" s="138" t="s">
        <v>123</v>
      </c>
      <c r="E77" s="575" t="s">
        <v>116</v>
      </c>
      <c r="F77" s="576"/>
      <c r="G77" s="577" t="s">
        <v>117</v>
      </c>
      <c r="H77" s="578"/>
      <c r="I77" s="2"/>
    </row>
    <row r="78" spans="1:9" x14ac:dyDescent="0.25">
      <c r="A78" s="28" t="s">
        <v>120</v>
      </c>
      <c r="B78" s="447" t="s">
        <v>39</v>
      </c>
      <c r="C78" s="530"/>
      <c r="D78" s="109" t="s">
        <v>121</v>
      </c>
      <c r="E78" s="115" t="s">
        <v>24</v>
      </c>
      <c r="F78" s="30">
        <v>22</v>
      </c>
      <c r="G78" s="115" t="s">
        <v>24</v>
      </c>
      <c r="H78" s="106">
        <f>F78/1.18</f>
        <v>18.64406779661017</v>
      </c>
      <c r="I78" s="2"/>
    </row>
    <row r="79" spans="1:9" ht="15.75" x14ac:dyDescent="0.25">
      <c r="A79" s="28"/>
      <c r="B79" s="447" t="s">
        <v>40</v>
      </c>
      <c r="C79" s="530"/>
      <c r="D79" s="110" t="s">
        <v>122</v>
      </c>
      <c r="E79" s="115" t="s">
        <v>24</v>
      </c>
      <c r="F79" s="30">
        <v>55</v>
      </c>
      <c r="G79" s="115" t="s">
        <v>24</v>
      </c>
      <c r="H79" s="106">
        <f t="shared" ref="H79:H83" si="0">F79/1.18</f>
        <v>46.610169491525426</v>
      </c>
      <c r="I79" s="2"/>
    </row>
    <row r="80" spans="1:9" ht="15.75" x14ac:dyDescent="0.25">
      <c r="A80" s="2"/>
      <c r="B80" s="447" t="s">
        <v>456</v>
      </c>
      <c r="C80" s="530"/>
      <c r="D80" s="110" t="s">
        <v>76</v>
      </c>
      <c r="E80" s="115" t="s">
        <v>24</v>
      </c>
      <c r="F80" s="30">
        <v>75</v>
      </c>
      <c r="G80" s="115" t="s">
        <v>24</v>
      </c>
      <c r="H80" s="106">
        <f t="shared" si="0"/>
        <v>63.559322033898312</v>
      </c>
      <c r="I80" s="2"/>
    </row>
    <row r="81" spans="1:11" ht="15.75" x14ac:dyDescent="0.25">
      <c r="A81" s="2"/>
      <c r="B81" s="447" t="s">
        <v>41</v>
      </c>
      <c r="C81" s="530"/>
      <c r="D81" s="110" t="s">
        <v>76</v>
      </c>
      <c r="E81" s="115" t="s">
        <v>24</v>
      </c>
      <c r="F81" s="30">
        <v>5</v>
      </c>
      <c r="G81" s="115" t="s">
        <v>24</v>
      </c>
      <c r="H81" s="106">
        <f t="shared" si="0"/>
        <v>4.2372881355932206</v>
      </c>
      <c r="I81" s="2"/>
      <c r="K81" s="105"/>
    </row>
    <row r="82" spans="1:11" x14ac:dyDescent="0.25">
      <c r="A82" s="2"/>
      <c r="B82" s="447" t="str">
        <f>IF(G41="NO","Gasolina de 84 octanos",IF(AND(G41="SI"),"-"))</f>
        <v>Gasolina de 84 octanos</v>
      </c>
      <c r="C82" s="530"/>
      <c r="D82" s="110" t="str">
        <f>IF(G41="NO","galón",IF(AND(G41="SI"),"-"))</f>
        <v>galón</v>
      </c>
      <c r="E82" s="115" t="str">
        <f>IF(G41="NO","S/.",IF(AND(G41="SI"),"No considerar"))</f>
        <v>S/.</v>
      </c>
      <c r="F82" s="30">
        <v>9.59</v>
      </c>
      <c r="G82" s="115" t="str">
        <f>E82</f>
        <v>S/.</v>
      </c>
      <c r="H82" s="106">
        <f t="shared" si="0"/>
        <v>8.1271186440677976</v>
      </c>
      <c r="I82" s="2"/>
    </row>
    <row r="83" spans="1:11" x14ac:dyDescent="0.25">
      <c r="A83" s="2"/>
      <c r="B83" s="447" t="str">
        <f>IF(G42="NO","Grasa multipropósitos",IF(AND(G42="SI"),"-"))</f>
        <v>Grasa multipropósitos</v>
      </c>
      <c r="C83" s="530"/>
      <c r="D83" s="110" t="str">
        <f>IF(G42="NO","kg",IF(AND(G42="SI"),"-"))</f>
        <v>kg</v>
      </c>
      <c r="E83" s="115" t="str">
        <f>IF(G42="NO","S/.",IF(AND(G42="SI"),"No considerar"))</f>
        <v>S/.</v>
      </c>
      <c r="F83" s="30">
        <v>20</v>
      </c>
      <c r="G83" s="115" t="str">
        <f>E83</f>
        <v>S/.</v>
      </c>
      <c r="H83" s="106">
        <f t="shared" si="0"/>
        <v>16.949152542372882</v>
      </c>
      <c r="I83" s="2"/>
    </row>
    <row r="84" spans="1:11" ht="15.75" x14ac:dyDescent="0.25">
      <c r="A84" s="2"/>
      <c r="B84" s="447" t="s">
        <v>239</v>
      </c>
      <c r="C84" s="530"/>
      <c r="D84" s="312" t="s">
        <v>315</v>
      </c>
      <c r="E84" s="115" t="s">
        <v>24</v>
      </c>
      <c r="F84" s="195">
        <v>4.5</v>
      </c>
      <c r="G84" s="115" t="s">
        <v>24</v>
      </c>
      <c r="H84" s="106">
        <f>F84/1.18</f>
        <v>3.8135593220338984</v>
      </c>
      <c r="I84" s="2"/>
    </row>
    <row r="85" spans="1:11" x14ac:dyDescent="0.25">
      <c r="A85" s="2"/>
      <c r="B85" s="447" t="s">
        <v>240</v>
      </c>
      <c r="C85" s="530"/>
      <c r="D85" s="110" t="s">
        <v>169</v>
      </c>
      <c r="E85" s="115" t="s">
        <v>24</v>
      </c>
      <c r="F85" s="195">
        <v>8.1</v>
      </c>
      <c r="G85" s="115" t="s">
        <v>24</v>
      </c>
      <c r="H85" s="106">
        <f>F85/1.18</f>
        <v>6.8644067796610173</v>
      </c>
      <c r="I85" s="2"/>
    </row>
    <row r="86" spans="1:11" x14ac:dyDescent="0.25">
      <c r="A86" s="2"/>
      <c r="B86" s="447" t="s">
        <v>418</v>
      </c>
      <c r="C86" s="530"/>
      <c r="D86" s="110" t="s">
        <v>169</v>
      </c>
      <c r="E86" s="115" t="s">
        <v>24</v>
      </c>
      <c r="F86" s="195">
        <v>7.57</v>
      </c>
      <c r="G86" s="115" t="s">
        <v>24</v>
      </c>
      <c r="H86" s="106">
        <f>F86/1.18</f>
        <v>6.4152542372881358</v>
      </c>
      <c r="I86" s="2"/>
    </row>
    <row r="87" spans="1:11" x14ac:dyDescent="0.25">
      <c r="A87" s="2"/>
      <c r="B87" s="185"/>
      <c r="C87" s="185"/>
      <c r="D87" s="68"/>
      <c r="E87" s="259"/>
      <c r="F87" s="33"/>
      <c r="G87" s="32"/>
      <c r="H87" s="260"/>
      <c r="I87" s="2"/>
    </row>
    <row r="88" spans="1:11" x14ac:dyDescent="0.25">
      <c r="A88" s="2"/>
      <c r="B88" s="100" t="s">
        <v>152</v>
      </c>
      <c r="C88" s="120"/>
      <c r="D88" s="31"/>
      <c r="E88" s="32"/>
      <c r="F88" s="33"/>
      <c r="G88" s="2"/>
      <c r="H88" s="2"/>
      <c r="I88" s="2"/>
    </row>
    <row r="89" spans="1:11" x14ac:dyDescent="0.25">
      <c r="A89" s="2"/>
      <c r="B89" s="22"/>
      <c r="C89" s="31"/>
      <c r="D89" s="31"/>
      <c r="E89" s="32"/>
      <c r="F89" s="33"/>
      <c r="G89" s="2"/>
      <c r="H89" s="2"/>
      <c r="I89" s="2"/>
    </row>
    <row r="90" spans="1:11" x14ac:dyDescent="0.25">
      <c r="A90" s="28" t="s">
        <v>119</v>
      </c>
      <c r="B90" s="573" t="s">
        <v>26</v>
      </c>
      <c r="C90" s="574"/>
      <c r="D90" s="138" t="s">
        <v>123</v>
      </c>
      <c r="E90" s="584" t="s">
        <v>116</v>
      </c>
      <c r="F90" s="584"/>
      <c r="G90" s="577" t="s">
        <v>117</v>
      </c>
      <c r="H90" s="578"/>
      <c r="I90" s="2"/>
    </row>
    <row r="91" spans="1:11" x14ac:dyDescent="0.25">
      <c r="A91" s="28" t="s">
        <v>120</v>
      </c>
      <c r="B91" s="534" t="s">
        <v>27</v>
      </c>
      <c r="C91" s="535"/>
      <c r="D91" s="284" t="s">
        <v>396</v>
      </c>
      <c r="E91" s="115" t="s">
        <v>24</v>
      </c>
      <c r="F91" s="30">
        <v>12</v>
      </c>
      <c r="G91" s="29" t="s">
        <v>24</v>
      </c>
      <c r="H91" s="106">
        <f>F91/1.18</f>
        <v>10.16949152542373</v>
      </c>
      <c r="I91" s="2"/>
    </row>
    <row r="92" spans="1:11" x14ac:dyDescent="0.25">
      <c r="A92" s="2"/>
      <c r="B92" s="158"/>
      <c r="C92" s="31"/>
      <c r="D92" s="31"/>
      <c r="E92" s="32"/>
      <c r="F92" s="33"/>
      <c r="G92" s="2"/>
      <c r="H92" s="2"/>
      <c r="I92" s="2"/>
    </row>
    <row r="93" spans="1:11" x14ac:dyDescent="0.25">
      <c r="A93" s="2"/>
      <c r="B93" s="18"/>
      <c r="C93" s="31"/>
      <c r="D93" s="31"/>
      <c r="E93" s="32"/>
      <c r="F93" s="33"/>
      <c r="G93" s="2"/>
      <c r="H93" s="2"/>
      <c r="I93" s="2"/>
    </row>
    <row r="94" spans="1:11" x14ac:dyDescent="0.25">
      <c r="A94" s="164"/>
      <c r="B94" s="455" t="s">
        <v>179</v>
      </c>
      <c r="C94" s="455"/>
      <c r="D94" s="564"/>
      <c r="E94" s="17" t="s">
        <v>120</v>
      </c>
      <c r="F94" s="565" t="s">
        <v>149</v>
      </c>
      <c r="G94" s="565"/>
      <c r="H94" s="2"/>
    </row>
    <row r="95" spans="1:11" x14ac:dyDescent="0.25">
      <c r="A95" s="2"/>
      <c r="B95" s="18"/>
      <c r="C95" s="31"/>
      <c r="D95" s="31"/>
      <c r="E95" s="32"/>
      <c r="F95" s="565"/>
      <c r="G95" s="565"/>
      <c r="H95" s="2"/>
      <c r="I95" s="2"/>
    </row>
    <row r="96" spans="1:11" x14ac:dyDescent="0.25">
      <c r="A96" s="2"/>
      <c r="B96" s="18"/>
      <c r="C96" s="31"/>
      <c r="D96" s="31"/>
      <c r="E96" s="32"/>
      <c r="F96" s="33"/>
      <c r="G96" s="2"/>
      <c r="H96" s="2"/>
      <c r="I96" s="2"/>
    </row>
    <row r="97" spans="1:9" x14ac:dyDescent="0.25">
      <c r="A97" s="2"/>
      <c r="B97" s="18"/>
      <c r="C97" s="31"/>
      <c r="D97" s="31"/>
      <c r="E97" s="32"/>
      <c r="F97" s="33"/>
      <c r="G97" s="2"/>
      <c r="H97" s="2"/>
      <c r="I97" s="2"/>
    </row>
    <row r="98" spans="1:9" x14ac:dyDescent="0.25">
      <c r="A98" s="2"/>
      <c r="B98" s="100" t="s">
        <v>144</v>
      </c>
      <c r="C98" s="120"/>
      <c r="D98" s="31"/>
      <c r="E98" s="32"/>
      <c r="F98" s="33"/>
      <c r="G98" s="2"/>
      <c r="H98" s="2"/>
      <c r="I98" s="2"/>
    </row>
    <row r="99" spans="1:9" x14ac:dyDescent="0.25">
      <c r="A99" s="2"/>
      <c r="B99" s="18"/>
      <c r="C99" s="31"/>
      <c r="D99" s="31"/>
      <c r="E99" s="32"/>
      <c r="F99" s="33"/>
      <c r="G99" s="2"/>
      <c r="H99" s="2"/>
      <c r="I99" s="2"/>
    </row>
    <row r="100" spans="1:9" x14ac:dyDescent="0.25">
      <c r="A100" s="2"/>
      <c r="B100" s="567" t="s">
        <v>124</v>
      </c>
      <c r="C100" s="568"/>
      <c r="D100" s="568"/>
      <c r="E100" s="568"/>
      <c r="F100" s="568"/>
      <c r="G100" s="569"/>
      <c r="H100" s="2"/>
      <c r="I100" s="2"/>
    </row>
    <row r="101" spans="1:9" x14ac:dyDescent="0.25">
      <c r="A101" s="2"/>
      <c r="B101" s="570" t="s">
        <v>125</v>
      </c>
      <c r="C101" s="571"/>
      <c r="D101" s="571"/>
      <c r="E101" s="571"/>
      <c r="F101" s="571"/>
      <c r="G101" s="572"/>
      <c r="H101" s="2"/>
      <c r="I101" s="2"/>
    </row>
    <row r="102" spans="1:9" x14ac:dyDescent="0.25">
      <c r="A102" s="2"/>
      <c r="B102" s="524" t="s">
        <v>126</v>
      </c>
      <c r="C102" s="524"/>
      <c r="D102" s="524"/>
      <c r="E102" s="117" t="s">
        <v>12</v>
      </c>
      <c r="F102" s="118" t="s">
        <v>13</v>
      </c>
      <c r="G102" s="117" t="s">
        <v>14</v>
      </c>
      <c r="H102" s="2"/>
      <c r="I102" s="2"/>
    </row>
    <row r="103" spans="1:9" x14ac:dyDescent="0.25">
      <c r="A103" s="2"/>
      <c r="B103" s="525" t="s">
        <v>127</v>
      </c>
      <c r="C103" s="525"/>
      <c r="D103" s="525"/>
      <c r="E103" s="112">
        <v>74.3</v>
      </c>
      <c r="F103" s="112">
        <v>58.45</v>
      </c>
      <c r="G103" s="112">
        <v>52.5</v>
      </c>
      <c r="H103" s="2"/>
      <c r="I103" s="2"/>
    </row>
    <row r="104" spans="1:9" x14ac:dyDescent="0.25">
      <c r="A104" s="2"/>
      <c r="B104" s="526" t="s">
        <v>128</v>
      </c>
      <c r="C104" s="526"/>
      <c r="D104" s="526"/>
      <c r="E104" s="84"/>
      <c r="F104" s="112"/>
      <c r="G104" s="112"/>
      <c r="H104" s="2"/>
      <c r="I104" s="2"/>
    </row>
    <row r="105" spans="1:9" x14ac:dyDescent="0.25">
      <c r="A105" s="2"/>
      <c r="B105" s="121"/>
      <c r="C105" s="122" t="s">
        <v>12</v>
      </c>
      <c r="D105" s="123">
        <v>0.32</v>
      </c>
      <c r="E105" s="84">
        <f>D105*E103</f>
        <v>23.776</v>
      </c>
      <c r="F105" s="112"/>
      <c r="G105" s="112"/>
      <c r="H105" s="2"/>
      <c r="I105" s="2"/>
    </row>
    <row r="106" spans="1:9" x14ac:dyDescent="0.25">
      <c r="A106" s="2"/>
      <c r="B106" s="124"/>
      <c r="C106" s="125" t="s">
        <v>13</v>
      </c>
      <c r="D106" s="126">
        <v>0.3</v>
      </c>
      <c r="E106" s="84"/>
      <c r="F106" s="112">
        <f>D106*F103</f>
        <v>17.535</v>
      </c>
      <c r="G106" s="112"/>
      <c r="H106" s="2"/>
      <c r="I106" s="2"/>
    </row>
    <row r="107" spans="1:9" x14ac:dyDescent="0.25">
      <c r="A107" s="2"/>
      <c r="B107" s="124"/>
      <c r="C107" s="125" t="s">
        <v>14</v>
      </c>
      <c r="D107" s="126">
        <v>0.3</v>
      </c>
      <c r="E107" s="84"/>
      <c r="F107" s="112"/>
      <c r="G107" s="112">
        <f>D107*G103</f>
        <v>15.75</v>
      </c>
      <c r="H107" s="2"/>
      <c r="I107" s="2"/>
    </row>
    <row r="108" spans="1:9" ht="15" customHeight="1" x14ac:dyDescent="0.25">
      <c r="A108" s="2"/>
      <c r="B108" s="527" t="s">
        <v>129</v>
      </c>
      <c r="C108" s="528"/>
      <c r="D108" s="127">
        <v>1.1345000000000001</v>
      </c>
      <c r="E108" s="84">
        <f>D108*E103</f>
        <v>84.293350000000004</v>
      </c>
      <c r="F108" s="112">
        <f>D108*F103</f>
        <v>66.311525000000003</v>
      </c>
      <c r="G108" s="112">
        <f>D108*G103</f>
        <v>59.561250000000001</v>
      </c>
      <c r="H108" s="2"/>
      <c r="I108" s="2"/>
    </row>
    <row r="109" spans="1:9" ht="15" customHeight="1" x14ac:dyDescent="0.25">
      <c r="A109" s="2"/>
      <c r="B109" s="527" t="s">
        <v>130</v>
      </c>
      <c r="C109" s="528"/>
      <c r="D109" s="128">
        <v>0.12</v>
      </c>
      <c r="E109" s="84">
        <f>D109*E105</f>
        <v>2.8531199999999997</v>
      </c>
      <c r="F109" s="112">
        <f>D109*F106</f>
        <v>2.1042000000000001</v>
      </c>
      <c r="G109" s="112">
        <f>D109*G107</f>
        <v>1.89</v>
      </c>
      <c r="H109" s="2"/>
      <c r="I109" s="2"/>
    </row>
    <row r="110" spans="1:9" x14ac:dyDescent="0.25">
      <c r="A110" s="2"/>
      <c r="B110" s="526" t="s">
        <v>131</v>
      </c>
      <c r="C110" s="526"/>
      <c r="D110" s="526"/>
      <c r="E110" s="84">
        <v>8</v>
      </c>
      <c r="F110" s="112">
        <v>8</v>
      </c>
      <c r="G110" s="112">
        <v>8</v>
      </c>
      <c r="H110" s="2"/>
      <c r="I110" s="2"/>
    </row>
    <row r="111" spans="1:9" x14ac:dyDescent="0.25">
      <c r="A111" s="2"/>
      <c r="B111" s="526" t="s">
        <v>132</v>
      </c>
      <c r="C111" s="526"/>
      <c r="D111" s="526"/>
      <c r="E111" s="84">
        <v>0.4</v>
      </c>
      <c r="F111" s="112">
        <v>0.4</v>
      </c>
      <c r="G111" s="112">
        <v>0.4</v>
      </c>
      <c r="H111" s="2"/>
      <c r="I111" s="2"/>
    </row>
    <row r="112" spans="1:9" x14ac:dyDescent="0.25">
      <c r="A112" s="2"/>
      <c r="B112" s="526" t="s">
        <v>133</v>
      </c>
      <c r="C112" s="526"/>
      <c r="D112" s="526"/>
      <c r="E112" s="84">
        <v>0.17</v>
      </c>
      <c r="F112" s="112">
        <v>0.17</v>
      </c>
      <c r="G112" s="112">
        <v>0.17</v>
      </c>
      <c r="H112" s="2"/>
      <c r="I112" s="2"/>
    </row>
    <row r="113" spans="1:9" x14ac:dyDescent="0.25">
      <c r="A113" s="2"/>
      <c r="B113" s="636" t="s">
        <v>134</v>
      </c>
      <c r="C113" s="636"/>
      <c r="D113" s="636"/>
      <c r="E113" s="119">
        <f>E103+E105+E108+E109+E110+E111+E112</f>
        <v>193.79246999999998</v>
      </c>
      <c r="F113" s="118">
        <f>F103+F106+F108+F109+F110+F111+F112</f>
        <v>152.97072499999999</v>
      </c>
      <c r="G113" s="118">
        <f>G103+G107+G108+G109+G110+G111+G112</f>
        <v>138.27124999999998</v>
      </c>
      <c r="H113" s="2"/>
      <c r="I113" s="2"/>
    </row>
    <row r="114" spans="1:9" x14ac:dyDescent="0.25">
      <c r="A114" s="2"/>
      <c r="B114" s="636" t="s">
        <v>135</v>
      </c>
      <c r="C114" s="636"/>
      <c r="D114" s="636"/>
      <c r="E114" s="119">
        <f>E113/8</f>
        <v>24.224058749999998</v>
      </c>
      <c r="F114" s="118">
        <f>F113/8</f>
        <v>19.121340624999998</v>
      </c>
      <c r="G114" s="118">
        <f>G113/8</f>
        <v>17.283906249999998</v>
      </c>
      <c r="H114" s="2"/>
      <c r="I114" s="2"/>
    </row>
    <row r="115" spans="1:9" x14ac:dyDescent="0.25">
      <c r="A115" s="2"/>
      <c r="B115" s="18"/>
      <c r="C115" s="31"/>
      <c r="D115" s="31"/>
      <c r="E115" s="32"/>
      <c r="F115" s="33"/>
      <c r="G115" s="2"/>
      <c r="H115" s="2"/>
      <c r="I115" s="2"/>
    </row>
    <row r="116" spans="1:9" x14ac:dyDescent="0.25">
      <c r="A116" s="2"/>
      <c r="B116" s="580" t="s">
        <v>136</v>
      </c>
      <c r="C116" s="581"/>
      <c r="D116" s="581"/>
      <c r="E116" s="581"/>
      <c r="F116" s="581"/>
      <c r="G116" s="582"/>
      <c r="H116" s="2"/>
      <c r="I116" s="2"/>
    </row>
    <row r="117" spans="1:9" x14ac:dyDescent="0.25">
      <c r="A117" s="2"/>
      <c r="B117" s="129" t="s">
        <v>137</v>
      </c>
      <c r="C117" s="130"/>
      <c r="D117" s="131"/>
      <c r="E117" s="113">
        <v>1.1000000000000001</v>
      </c>
      <c r="F117" s="114" t="s">
        <v>140</v>
      </c>
      <c r="G117" s="111">
        <f>E117*E114</f>
        <v>26.646464625</v>
      </c>
      <c r="H117" s="2"/>
      <c r="I117" s="2"/>
    </row>
    <row r="118" spans="1:9" x14ac:dyDescent="0.25">
      <c r="A118" s="2"/>
      <c r="B118" s="129" t="s">
        <v>12</v>
      </c>
      <c r="C118" s="130"/>
      <c r="D118" s="131"/>
      <c r="E118" s="113"/>
      <c r="F118" s="114"/>
      <c r="G118" s="111">
        <f>E114</f>
        <v>24.224058749999998</v>
      </c>
      <c r="H118" s="2"/>
      <c r="I118" s="2"/>
    </row>
    <row r="119" spans="1:9" x14ac:dyDescent="0.25">
      <c r="A119" s="2"/>
      <c r="B119" s="129" t="s">
        <v>13</v>
      </c>
      <c r="C119" s="130"/>
      <c r="D119" s="131"/>
      <c r="E119" s="115"/>
      <c r="F119" s="116"/>
      <c r="G119" s="111">
        <f>F114</f>
        <v>19.121340624999998</v>
      </c>
      <c r="H119" s="2"/>
      <c r="I119" s="2"/>
    </row>
    <row r="120" spans="1:9" x14ac:dyDescent="0.25">
      <c r="A120" s="2"/>
      <c r="B120" s="129" t="s">
        <v>14</v>
      </c>
      <c r="C120" s="130"/>
      <c r="D120" s="131"/>
      <c r="E120" s="115"/>
      <c r="F120" s="116"/>
      <c r="G120" s="111">
        <f>G114</f>
        <v>17.283906249999998</v>
      </c>
      <c r="H120" s="2"/>
      <c r="I120" s="2"/>
    </row>
    <row r="121" spans="1:9" x14ac:dyDescent="0.25">
      <c r="A121" s="2"/>
      <c r="B121" s="129" t="s">
        <v>138</v>
      </c>
      <c r="C121" s="130"/>
      <c r="D121" s="131"/>
      <c r="E121" s="113">
        <v>1</v>
      </c>
      <c r="F121" s="114" t="s">
        <v>141</v>
      </c>
      <c r="G121" s="111">
        <f>E121*F114</f>
        <v>19.121340624999998</v>
      </c>
      <c r="H121" s="2"/>
      <c r="I121" s="2"/>
    </row>
    <row r="122" spans="1:9" x14ac:dyDescent="0.25">
      <c r="A122" s="2"/>
      <c r="B122" s="630" t="s">
        <v>25</v>
      </c>
      <c r="C122" s="631"/>
      <c r="D122" s="632"/>
      <c r="E122" s="113">
        <v>1.08</v>
      </c>
      <c r="F122" s="114" t="s">
        <v>140</v>
      </c>
      <c r="G122" s="111">
        <f>E122*E114</f>
        <v>26.161983449999997</v>
      </c>
      <c r="H122" s="2"/>
      <c r="I122" s="2"/>
    </row>
    <row r="123" spans="1:9" x14ac:dyDescent="0.25">
      <c r="A123" s="2"/>
      <c r="B123" s="630" t="s">
        <v>139</v>
      </c>
      <c r="C123" s="631"/>
      <c r="D123" s="632"/>
      <c r="E123" s="113">
        <v>1.1000000000000001</v>
      </c>
      <c r="F123" s="114" t="s">
        <v>140</v>
      </c>
      <c r="G123" s="111">
        <f>E123*E114</f>
        <v>26.646464625</v>
      </c>
      <c r="H123" s="2"/>
      <c r="I123" s="2"/>
    </row>
    <row r="124" spans="1:9" x14ac:dyDescent="0.25">
      <c r="A124" s="2"/>
      <c r="B124" s="633" t="s">
        <v>142</v>
      </c>
      <c r="C124" s="633"/>
      <c r="D124" s="633"/>
      <c r="E124" s="633"/>
      <c r="F124" s="633"/>
      <c r="G124" s="633"/>
      <c r="H124" s="2"/>
      <c r="I124" s="2"/>
    </row>
    <row r="125" spans="1:9" x14ac:dyDescent="0.25">
      <c r="A125" s="2"/>
      <c r="B125" s="135"/>
      <c r="C125" s="135"/>
      <c r="D125" s="135"/>
      <c r="E125" s="135"/>
      <c r="F125" s="135"/>
      <c r="G125" s="135"/>
      <c r="H125" s="2"/>
      <c r="I125" s="2"/>
    </row>
    <row r="126" spans="1:9" x14ac:dyDescent="0.25">
      <c r="A126" s="2"/>
      <c r="B126" s="132" t="s">
        <v>145</v>
      </c>
      <c r="C126" s="133"/>
      <c r="D126" s="136">
        <v>4600</v>
      </c>
      <c r="E126" s="32" t="s">
        <v>146</v>
      </c>
      <c r="F126" s="134">
        <f>50*D126</f>
        <v>230000</v>
      </c>
      <c r="G126" s="2"/>
      <c r="H126" s="2"/>
      <c r="I126" s="2"/>
    </row>
    <row r="127" spans="1:9" x14ac:dyDescent="0.25">
      <c r="A127" s="2"/>
      <c r="B127" s="18"/>
      <c r="C127" s="31"/>
      <c r="D127" s="31"/>
      <c r="E127" s="32"/>
      <c r="F127" s="33"/>
      <c r="G127" s="2"/>
      <c r="H127" s="2"/>
      <c r="I127" s="2"/>
    </row>
    <row r="128" spans="1:9" x14ac:dyDescent="0.25">
      <c r="A128" s="28" t="s">
        <v>147</v>
      </c>
      <c r="B128" s="455" t="s">
        <v>181</v>
      </c>
      <c r="C128" s="564"/>
      <c r="D128" s="17" t="s">
        <v>147</v>
      </c>
      <c r="E128" s="635" t="s">
        <v>150</v>
      </c>
      <c r="F128" s="635"/>
      <c r="G128" s="2"/>
      <c r="I128" s="2"/>
    </row>
    <row r="129" spans="1:18" x14ac:dyDescent="0.25">
      <c r="A129" s="28" t="s">
        <v>148</v>
      </c>
      <c r="B129" s="18"/>
      <c r="C129" s="31"/>
      <c r="D129" s="31"/>
      <c r="E129" s="635"/>
      <c r="F129" s="635"/>
      <c r="G129" s="2"/>
      <c r="H129" s="2"/>
      <c r="I129" s="2"/>
    </row>
    <row r="130" spans="1:18" x14ac:dyDescent="0.25">
      <c r="A130" s="2"/>
      <c r="B130" s="18"/>
      <c r="C130" s="31"/>
      <c r="D130" s="31"/>
      <c r="E130" s="32"/>
      <c r="F130" s="33"/>
      <c r="G130" s="2"/>
      <c r="H130" s="2"/>
      <c r="I130" s="2"/>
    </row>
    <row r="131" spans="1:18" x14ac:dyDescent="0.25">
      <c r="A131" s="2"/>
      <c r="B131" s="18"/>
      <c r="C131" s="31"/>
      <c r="D131" s="31"/>
      <c r="E131" s="32"/>
      <c r="F131" s="33"/>
      <c r="G131" s="2"/>
      <c r="H131" s="2"/>
      <c r="I131" s="2"/>
    </row>
    <row r="132" spans="1:18" x14ac:dyDescent="0.25">
      <c r="A132" s="2"/>
      <c r="B132" s="18"/>
      <c r="C132" s="31"/>
      <c r="D132" s="31"/>
      <c r="E132" s="32"/>
      <c r="F132" s="33"/>
      <c r="G132" s="2"/>
      <c r="H132" s="2"/>
      <c r="I132" s="2"/>
    </row>
    <row r="133" spans="1:18" x14ac:dyDescent="0.25">
      <c r="A133" s="2"/>
      <c r="B133" s="2"/>
      <c r="C133" s="2"/>
      <c r="D133" s="2"/>
      <c r="E133" s="2"/>
      <c r="F133" s="2"/>
      <c r="G133" s="2"/>
      <c r="H133" s="2"/>
      <c r="I133" s="2"/>
      <c r="P133" s="2"/>
      <c r="Q133" s="2"/>
      <c r="R133" s="2"/>
    </row>
    <row r="134" spans="1:18" ht="15" customHeight="1" x14ac:dyDescent="0.25">
      <c r="A134" s="2"/>
      <c r="B134" s="18"/>
      <c r="C134" s="31"/>
      <c r="D134" s="31"/>
      <c r="E134" s="32"/>
      <c r="F134" s="34"/>
      <c r="G134" s="684" t="s">
        <v>28</v>
      </c>
      <c r="H134" s="533"/>
      <c r="I134" s="2"/>
    </row>
    <row r="135" spans="1:18" ht="15" customHeight="1" x14ac:dyDescent="0.25">
      <c r="A135" s="2"/>
      <c r="B135" s="18"/>
      <c r="C135" s="31"/>
      <c r="D135" s="31"/>
      <c r="E135" s="32"/>
      <c r="F135" s="104" t="s">
        <v>180</v>
      </c>
      <c r="G135" s="533"/>
      <c r="H135" s="533"/>
      <c r="I135" s="2"/>
    </row>
    <row r="136" spans="1:18" ht="15" customHeight="1" x14ac:dyDescent="0.25">
      <c r="A136" s="2"/>
      <c r="B136" s="18"/>
      <c r="C136" s="31"/>
      <c r="D136" s="31"/>
      <c r="E136" s="32"/>
      <c r="F136" s="34"/>
      <c r="G136" s="533"/>
      <c r="H136" s="533"/>
      <c r="I136" s="2"/>
    </row>
    <row r="137" spans="1:18" ht="15" customHeight="1" x14ac:dyDescent="0.25">
      <c r="A137" s="2"/>
      <c r="B137" s="18"/>
      <c r="C137" s="31"/>
      <c r="D137" s="31"/>
      <c r="E137" s="32"/>
      <c r="F137" s="34"/>
      <c r="G137" s="21"/>
      <c r="H137" s="21"/>
      <c r="I137" s="2"/>
    </row>
    <row r="138" spans="1:18" ht="15" customHeight="1" x14ac:dyDescent="0.25">
      <c r="A138" s="22" t="s">
        <v>457</v>
      </c>
      <c r="B138" s="18"/>
      <c r="C138" s="2"/>
      <c r="D138" s="2"/>
      <c r="E138" s="13"/>
      <c r="F138" s="35"/>
      <c r="G138" s="36"/>
      <c r="H138" s="36"/>
      <c r="I138" s="2"/>
    </row>
    <row r="139" spans="1:18" x14ac:dyDescent="0.25">
      <c r="A139" s="548" t="s">
        <v>29</v>
      </c>
      <c r="B139" s="548"/>
      <c r="C139" s="548"/>
      <c r="D139" s="2"/>
      <c r="E139" s="13"/>
      <c r="F139" s="35"/>
      <c r="G139" s="36"/>
      <c r="H139" s="36"/>
      <c r="I139" s="2"/>
    </row>
    <row r="140" spans="1:18" ht="15.75" x14ac:dyDescent="0.25">
      <c r="A140" s="22"/>
      <c r="B140" s="18"/>
      <c r="C140" s="4" t="s">
        <v>153</v>
      </c>
      <c r="D140" s="2"/>
      <c r="E140" s="139" t="str">
        <f>F29</f>
        <v>1:8 + 25% PM</v>
      </c>
      <c r="F140" s="140" t="s">
        <v>458</v>
      </c>
      <c r="G140" s="37">
        <v>2</v>
      </c>
      <c r="H140" s="38" t="s">
        <v>76</v>
      </c>
      <c r="I140" s="2"/>
    </row>
    <row r="141" spans="1:18" ht="15.75" x14ac:dyDescent="0.25">
      <c r="A141" s="22"/>
      <c r="B141" s="18"/>
      <c r="C141" s="4" t="s">
        <v>459</v>
      </c>
      <c r="D141" s="2"/>
      <c r="E141" s="139"/>
      <c r="F141" s="140"/>
      <c r="G141" s="37">
        <v>18</v>
      </c>
      <c r="H141" s="38" t="s">
        <v>300</v>
      </c>
      <c r="I141" s="2"/>
    </row>
    <row r="142" spans="1:18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18" x14ac:dyDescent="0.25">
      <c r="A143" s="2"/>
      <c r="B143" s="2"/>
      <c r="C143" s="2"/>
      <c r="D143" s="2"/>
      <c r="E143" s="2"/>
      <c r="F143" s="2"/>
      <c r="G143" s="2"/>
      <c r="H143" s="2"/>
      <c r="I143" s="2"/>
    </row>
    <row r="144" spans="1:18" x14ac:dyDescent="0.25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5">
      <c r="A145" s="2"/>
      <c r="B145" s="2"/>
      <c r="C145" s="2"/>
      <c r="D145" s="2"/>
      <c r="E145" s="2"/>
      <c r="F145" s="2"/>
      <c r="G145" s="2"/>
      <c r="H145" s="2"/>
      <c r="I145" s="2"/>
    </row>
    <row r="146" spans="1:9" ht="15.75" x14ac:dyDescent="0.25">
      <c r="A146" s="669" t="s">
        <v>30</v>
      </c>
      <c r="B146" s="669"/>
      <c r="C146" s="669"/>
      <c r="D146" s="2"/>
      <c r="E146" s="2"/>
      <c r="F146" s="2"/>
      <c r="G146" s="2"/>
      <c r="H146" s="2"/>
      <c r="I146" s="2"/>
    </row>
    <row r="147" spans="1:9" x14ac:dyDescent="0.25">
      <c r="A147" s="2"/>
      <c r="B147" s="2"/>
      <c r="C147" s="2"/>
      <c r="D147" s="2"/>
      <c r="E147" s="2"/>
      <c r="F147" s="2"/>
      <c r="G147" s="2"/>
      <c r="H147" s="2"/>
      <c r="I147" s="2"/>
    </row>
    <row r="148" spans="1:9" ht="15.75" x14ac:dyDescent="0.25">
      <c r="A148" s="685" t="s">
        <v>460</v>
      </c>
      <c r="B148" s="685"/>
      <c r="C148" s="685"/>
      <c r="D148" s="685"/>
      <c r="E148" s="685"/>
      <c r="F148" s="685"/>
      <c r="G148" s="685"/>
      <c r="H148" s="2"/>
      <c r="I148" s="2"/>
    </row>
    <row r="149" spans="1:9" x14ac:dyDescent="0.25">
      <c r="A149" s="2"/>
      <c r="B149" s="2"/>
      <c r="C149" s="2"/>
      <c r="D149" s="2"/>
      <c r="E149" s="2"/>
      <c r="F149" s="2"/>
      <c r="G149" s="2"/>
      <c r="H149" s="2"/>
      <c r="I149" s="2"/>
    </row>
    <row r="150" spans="1:9" ht="15.75" x14ac:dyDescent="0.25">
      <c r="A150" s="5" t="s">
        <v>461</v>
      </c>
      <c r="B150" s="2"/>
      <c r="C150" s="2"/>
      <c r="D150" s="2"/>
      <c r="E150" s="2"/>
      <c r="F150" s="2"/>
      <c r="G150" s="2"/>
      <c r="H150" s="2"/>
      <c r="I150" s="2"/>
    </row>
    <row r="151" spans="1:9" x14ac:dyDescent="0.25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5">
      <c r="A152" s="2"/>
      <c r="B152" s="6" t="s">
        <v>462</v>
      </c>
      <c r="C152" s="2"/>
      <c r="D152" s="2"/>
      <c r="E152" s="2"/>
      <c r="F152" s="2"/>
      <c r="G152" s="2"/>
      <c r="H152" s="2"/>
      <c r="I152" s="2"/>
    </row>
    <row r="153" spans="1:9" x14ac:dyDescent="0.25">
      <c r="A153" s="2"/>
      <c r="B153" s="2"/>
      <c r="C153" s="2"/>
      <c r="D153" s="24"/>
      <c r="E153" s="24" t="s">
        <v>31</v>
      </c>
      <c r="F153" s="39">
        <f>F33</f>
        <v>0.05</v>
      </c>
      <c r="G153" s="2"/>
      <c r="H153" s="2"/>
      <c r="I153" s="2"/>
    </row>
    <row r="154" spans="1:9" ht="15.75" x14ac:dyDescent="0.25">
      <c r="A154" s="2"/>
      <c r="B154" s="682" t="s">
        <v>463</v>
      </c>
      <c r="C154" s="683"/>
      <c r="D154" s="683"/>
      <c r="E154" s="683"/>
      <c r="F154" s="141">
        <f>G140+G140*F153</f>
        <v>2.1</v>
      </c>
      <c r="G154" s="142" t="s">
        <v>32</v>
      </c>
      <c r="H154" s="2"/>
      <c r="I154" s="2"/>
    </row>
    <row r="155" spans="1:9" x14ac:dyDescent="0.25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5">
      <c r="A156" s="2"/>
      <c r="B156" s="2"/>
      <c r="C156" s="2"/>
      <c r="D156" s="2"/>
      <c r="E156" s="2"/>
      <c r="F156" s="2"/>
      <c r="G156" s="2"/>
      <c r="H156" s="2"/>
      <c r="I156" s="2"/>
    </row>
    <row r="157" spans="1:9" ht="15.75" x14ac:dyDescent="0.25">
      <c r="A157" s="5" t="s">
        <v>464</v>
      </c>
      <c r="B157" s="2"/>
      <c r="C157" s="2"/>
      <c r="D157" s="2"/>
      <c r="E157" s="2"/>
      <c r="F157" s="2"/>
      <c r="G157" s="2"/>
      <c r="H157" s="2"/>
      <c r="I157" s="2"/>
    </row>
    <row r="158" spans="1:9" x14ac:dyDescent="0.25">
      <c r="A158" s="2"/>
      <c r="B158" s="2"/>
      <c r="C158" s="6"/>
      <c r="D158" s="42"/>
      <c r="E158" s="42"/>
      <c r="F158" s="2"/>
      <c r="G158" s="2"/>
      <c r="H158" s="2"/>
      <c r="I158" s="2"/>
    </row>
    <row r="159" spans="1:9" x14ac:dyDescent="0.25">
      <c r="A159" s="2"/>
      <c r="B159" s="25" t="s">
        <v>33</v>
      </c>
      <c r="C159" s="2"/>
      <c r="D159" s="2"/>
      <c r="E159" s="2"/>
      <c r="F159" s="2"/>
      <c r="G159" s="2"/>
      <c r="H159" s="2"/>
      <c r="I159" s="2"/>
    </row>
    <row r="160" spans="1:9" ht="15.75" x14ac:dyDescent="0.25">
      <c r="A160" s="2"/>
      <c r="B160" s="2"/>
      <c r="C160" s="2"/>
      <c r="D160" s="2"/>
      <c r="E160" s="2"/>
      <c r="F160" s="587" t="s">
        <v>444</v>
      </c>
      <c r="G160" s="587"/>
      <c r="H160" s="587"/>
      <c r="I160" s="2"/>
    </row>
    <row r="161" spans="1:9" x14ac:dyDescent="0.25">
      <c r="A161" s="2"/>
      <c r="B161" s="2"/>
      <c r="C161" s="2"/>
      <c r="D161" s="2"/>
      <c r="E161" s="2"/>
      <c r="F161" s="43" t="s">
        <v>34</v>
      </c>
      <c r="G161" s="44">
        <f>IF(E162=C25,E25,IF(AND(E162=C26),E26))</f>
        <v>3.7</v>
      </c>
      <c r="H161" s="45" t="s">
        <v>35</v>
      </c>
      <c r="I161" s="2"/>
    </row>
    <row r="162" spans="1:9" ht="15.75" x14ac:dyDescent="0.25">
      <c r="A162" s="2"/>
      <c r="B162" s="604" t="s">
        <v>158</v>
      </c>
      <c r="C162" s="604"/>
      <c r="D162" s="604"/>
      <c r="E162" s="143" t="str">
        <f>F29</f>
        <v>1:8 + 25% PM</v>
      </c>
      <c r="F162" s="43" t="s">
        <v>36</v>
      </c>
      <c r="G162" s="46">
        <f>IF(E162=C25,F25,IF(AND(E162=C26),F26))</f>
        <v>0.85</v>
      </c>
      <c r="H162" s="45" t="s">
        <v>37</v>
      </c>
      <c r="I162" s="2"/>
    </row>
    <row r="163" spans="1:9" ht="15.75" x14ac:dyDescent="0.25">
      <c r="A163" s="2"/>
      <c r="B163" s="144"/>
      <c r="C163" s="144"/>
      <c r="D163" s="144"/>
      <c r="E163" s="143"/>
      <c r="F163" s="43" t="s">
        <v>159</v>
      </c>
      <c r="G163" s="46">
        <f>IF(E162=C25,G25,IF(AND(E162=C26),G26))</f>
        <v>0.42</v>
      </c>
      <c r="H163" s="45" t="s">
        <v>37</v>
      </c>
      <c r="I163" s="2"/>
    </row>
    <row r="164" spans="1:9" ht="15.75" x14ac:dyDescent="0.25">
      <c r="A164" s="2"/>
      <c r="B164" s="2"/>
      <c r="C164" s="2"/>
      <c r="D164" s="2"/>
      <c r="E164" s="2"/>
      <c r="F164" s="43" t="s">
        <v>38</v>
      </c>
      <c r="G164" s="46">
        <f>IF(E162=C25,H25,IF(AND(E162=C26),H26))</f>
        <v>0.13</v>
      </c>
      <c r="H164" s="45" t="s">
        <v>37</v>
      </c>
      <c r="I164" s="2"/>
    </row>
    <row r="165" spans="1:9" x14ac:dyDescent="0.25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5">
      <c r="A166" s="2"/>
      <c r="B166" s="2"/>
      <c r="C166" s="2"/>
      <c r="D166" s="2"/>
      <c r="E166" s="2"/>
      <c r="F166" s="2"/>
      <c r="G166" s="2"/>
      <c r="H166" s="2"/>
      <c r="I166" s="2"/>
    </row>
    <row r="167" spans="1:9" ht="15.75" x14ac:dyDescent="0.25">
      <c r="A167" s="2"/>
      <c r="B167" s="47" t="s">
        <v>161</v>
      </c>
      <c r="C167" s="2"/>
      <c r="D167" s="2"/>
      <c r="E167" s="2"/>
      <c r="F167" s="2"/>
      <c r="G167" s="2"/>
      <c r="H167" s="2"/>
      <c r="I167" s="2"/>
    </row>
    <row r="168" spans="1:9" x14ac:dyDescent="0.25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5">
      <c r="A169" s="2"/>
      <c r="B169" s="2"/>
      <c r="C169" s="48" t="s">
        <v>39</v>
      </c>
      <c r="D169" s="49"/>
      <c r="E169" s="146">
        <f>G140*G161</f>
        <v>7.4</v>
      </c>
      <c r="F169" s="50" t="s">
        <v>35</v>
      </c>
      <c r="G169" s="2"/>
      <c r="H169" s="2"/>
      <c r="I169" s="57"/>
    </row>
    <row r="170" spans="1:9" ht="15.75" x14ac:dyDescent="0.25">
      <c r="A170" s="2"/>
      <c r="B170" s="2"/>
      <c r="C170" s="48" t="s">
        <v>40</v>
      </c>
      <c r="D170" s="49"/>
      <c r="E170" s="146">
        <f>G140*G162</f>
        <v>1.7</v>
      </c>
      <c r="F170" s="50" t="s">
        <v>76</v>
      </c>
      <c r="G170" s="2"/>
      <c r="H170" s="2"/>
      <c r="I170" s="57"/>
    </row>
    <row r="171" spans="1:9" ht="15.75" x14ac:dyDescent="0.25">
      <c r="A171" s="2"/>
      <c r="B171" s="2"/>
      <c r="C171" s="48" t="s">
        <v>160</v>
      </c>
      <c r="D171" s="49"/>
      <c r="E171" s="146">
        <f>G140*G163</f>
        <v>0.84</v>
      </c>
      <c r="F171" s="50" t="s">
        <v>76</v>
      </c>
      <c r="G171" s="2"/>
      <c r="H171" s="2"/>
      <c r="I171" s="57"/>
    </row>
    <row r="172" spans="1:9" ht="15.75" x14ac:dyDescent="0.25">
      <c r="A172" s="2"/>
      <c r="B172" s="2"/>
      <c r="C172" s="48" t="s">
        <v>41</v>
      </c>
      <c r="D172" s="49"/>
      <c r="E172" s="145">
        <f>G140*G164</f>
        <v>0.26</v>
      </c>
      <c r="F172" s="50" t="s">
        <v>76</v>
      </c>
      <c r="G172" s="2"/>
      <c r="H172" s="2"/>
      <c r="I172" s="57"/>
    </row>
    <row r="173" spans="1:9" x14ac:dyDescent="0.25">
      <c r="A173" s="2"/>
      <c r="B173" s="2"/>
      <c r="C173" s="2"/>
      <c r="D173" s="2"/>
      <c r="E173" s="2"/>
      <c r="F173" s="2"/>
      <c r="G173" s="2"/>
      <c r="H173" s="2"/>
      <c r="I173" s="2"/>
    </row>
    <row r="174" spans="1:9" ht="15.75" x14ac:dyDescent="0.25">
      <c r="A174" s="2"/>
      <c r="B174" s="47" t="s">
        <v>162</v>
      </c>
      <c r="C174" s="2"/>
      <c r="D174" s="2"/>
      <c r="E174" s="2"/>
      <c r="F174" s="2"/>
      <c r="G174" s="2"/>
      <c r="H174" s="2"/>
      <c r="I174" s="2"/>
    </row>
    <row r="175" spans="1:9" x14ac:dyDescent="0.25">
      <c r="A175" s="2"/>
      <c r="B175" s="2"/>
      <c r="C175" s="24"/>
      <c r="D175" s="24" t="s">
        <v>31</v>
      </c>
      <c r="E175" s="39">
        <f>F33</f>
        <v>0.05</v>
      </c>
      <c r="F175" s="2"/>
      <c r="G175" s="2"/>
      <c r="H175" s="2"/>
      <c r="I175" s="2"/>
    </row>
    <row r="176" spans="1:9" x14ac:dyDescent="0.25">
      <c r="A176" s="2"/>
      <c r="B176" s="2"/>
      <c r="C176" s="51" t="s">
        <v>39</v>
      </c>
      <c r="D176" s="52"/>
      <c r="E176" s="148">
        <f>E169+E169*E175</f>
        <v>7.7700000000000005</v>
      </c>
      <c r="F176" s="53" t="s">
        <v>35</v>
      </c>
      <c r="G176" s="2"/>
      <c r="H176" s="2"/>
      <c r="I176" s="2"/>
    </row>
    <row r="177" spans="1:12" ht="15.75" x14ac:dyDescent="0.25">
      <c r="A177" s="2"/>
      <c r="B177" s="2"/>
      <c r="C177" s="51" t="s">
        <v>40</v>
      </c>
      <c r="D177" s="52"/>
      <c r="E177" s="148">
        <f>E170+E170*E175</f>
        <v>1.7849999999999999</v>
      </c>
      <c r="F177" s="53" t="s">
        <v>76</v>
      </c>
      <c r="G177" s="2"/>
      <c r="H177" s="2"/>
      <c r="I177" s="57"/>
    </row>
    <row r="178" spans="1:12" ht="15.75" x14ac:dyDescent="0.25">
      <c r="A178" s="2"/>
      <c r="B178" s="2"/>
      <c r="C178" s="51" t="s">
        <v>160</v>
      </c>
      <c r="D178" s="52"/>
      <c r="E178" s="148">
        <f>E171+E171*E175</f>
        <v>0.88200000000000001</v>
      </c>
      <c r="F178" s="53" t="s">
        <v>76</v>
      </c>
      <c r="G178" s="2"/>
      <c r="H178" s="2"/>
      <c r="I178" s="57"/>
      <c r="K178" s="154"/>
      <c r="L178" s="154"/>
    </row>
    <row r="179" spans="1:12" ht="15.75" x14ac:dyDescent="0.25">
      <c r="A179" s="2"/>
      <c r="B179" s="2"/>
      <c r="C179" s="51" t="s">
        <v>41</v>
      </c>
      <c r="D179" s="52"/>
      <c r="E179" s="147">
        <f>E172+E172*E175</f>
        <v>0.27300000000000002</v>
      </c>
      <c r="F179" s="53" t="s">
        <v>76</v>
      </c>
      <c r="G179" s="2"/>
      <c r="H179" s="2"/>
      <c r="I179" s="2"/>
    </row>
    <row r="180" spans="1:12" x14ac:dyDescent="0.25">
      <c r="A180" s="2"/>
      <c r="B180" s="2"/>
      <c r="C180" s="2"/>
      <c r="D180" s="2"/>
      <c r="E180" s="2"/>
      <c r="F180" s="2"/>
      <c r="G180" s="2"/>
      <c r="H180" s="2"/>
      <c r="I180" s="2"/>
    </row>
    <row r="181" spans="1:12" x14ac:dyDescent="0.25">
      <c r="A181" s="2"/>
      <c r="B181" s="2"/>
      <c r="C181" s="2"/>
      <c r="D181" s="2"/>
      <c r="E181" s="2"/>
      <c r="F181" s="2"/>
      <c r="G181" s="2"/>
      <c r="H181" s="2"/>
      <c r="I181" s="2"/>
    </row>
    <row r="182" spans="1:12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54"/>
    </row>
    <row r="183" spans="1:12" x14ac:dyDescent="0.25">
      <c r="A183" s="537" t="s">
        <v>465</v>
      </c>
      <c r="B183" s="537"/>
      <c r="C183" s="537"/>
      <c r="D183" s="537"/>
      <c r="E183" s="537"/>
      <c r="F183" s="537"/>
      <c r="G183" s="537"/>
      <c r="H183" s="537"/>
      <c r="I183" s="2"/>
    </row>
    <row r="184" spans="1:12" x14ac:dyDescent="0.25">
      <c r="A184" s="2"/>
      <c r="B184" s="2"/>
      <c r="C184" s="2"/>
      <c r="D184" s="2"/>
      <c r="E184" s="2"/>
      <c r="F184" s="2"/>
      <c r="G184" s="2"/>
      <c r="H184" s="2"/>
      <c r="I184" s="2"/>
    </row>
    <row r="185" spans="1:12" x14ac:dyDescent="0.25">
      <c r="A185" s="2"/>
      <c r="B185" s="2"/>
      <c r="C185" s="55" t="s">
        <v>39</v>
      </c>
      <c r="D185" s="56"/>
      <c r="E185" s="40">
        <f>E176</f>
        <v>7.7700000000000005</v>
      </c>
      <c r="F185" s="41" t="s">
        <v>35</v>
      </c>
      <c r="G185" s="57"/>
      <c r="H185" s="2"/>
      <c r="I185" s="58"/>
    </row>
    <row r="186" spans="1:12" ht="15.75" x14ac:dyDescent="0.25">
      <c r="A186" s="2"/>
      <c r="B186" s="2"/>
      <c r="C186" s="55" t="s">
        <v>40</v>
      </c>
      <c r="D186" s="56"/>
      <c r="E186" s="40">
        <f>E177</f>
        <v>1.7849999999999999</v>
      </c>
      <c r="F186" s="41" t="s">
        <v>42</v>
      </c>
      <c r="G186" s="57"/>
      <c r="H186" s="2"/>
      <c r="I186" s="58"/>
      <c r="K186" s="80"/>
    </row>
    <row r="187" spans="1:12" ht="15.75" x14ac:dyDescent="0.25">
      <c r="A187" s="2"/>
      <c r="B187" s="2"/>
      <c r="C187" s="55" t="s">
        <v>160</v>
      </c>
      <c r="D187" s="56"/>
      <c r="E187" s="40">
        <f>E178</f>
        <v>0.88200000000000001</v>
      </c>
      <c r="F187" s="41" t="s">
        <v>42</v>
      </c>
      <c r="G187" s="57"/>
      <c r="H187" s="2"/>
      <c r="I187" s="58"/>
    </row>
    <row r="188" spans="1:12" ht="15.75" x14ac:dyDescent="0.25">
      <c r="A188" s="2"/>
      <c r="B188" s="2"/>
      <c r="C188" s="55" t="s">
        <v>41</v>
      </c>
      <c r="D188" s="56"/>
      <c r="E188" s="59">
        <f>E179</f>
        <v>0.27300000000000002</v>
      </c>
      <c r="F188" s="41" t="s">
        <v>42</v>
      </c>
      <c r="G188" s="60"/>
      <c r="H188" s="2"/>
      <c r="I188" s="58"/>
      <c r="K188" s="152"/>
    </row>
    <row r="189" spans="1:12" x14ac:dyDescent="0.25">
      <c r="A189" s="2"/>
      <c r="B189" s="2"/>
      <c r="C189" s="2"/>
      <c r="D189" s="2"/>
      <c r="E189" s="2"/>
      <c r="F189" s="2"/>
      <c r="G189" s="2"/>
      <c r="H189" s="2"/>
      <c r="I189" s="2"/>
      <c r="K189" s="152"/>
    </row>
    <row r="190" spans="1:12" x14ac:dyDescent="0.25">
      <c r="A190" s="2"/>
      <c r="B190" s="2"/>
      <c r="C190" s="2"/>
      <c r="D190" s="2"/>
      <c r="E190" s="2"/>
      <c r="F190" s="2"/>
      <c r="G190" s="2"/>
      <c r="H190" s="2"/>
      <c r="I190" s="2"/>
      <c r="K190" s="152"/>
    </row>
    <row r="191" spans="1:12" x14ac:dyDescent="0.25">
      <c r="A191" s="2"/>
      <c r="B191" s="2"/>
      <c r="C191" s="2"/>
      <c r="D191" s="2"/>
      <c r="E191" s="2"/>
      <c r="F191" s="2"/>
      <c r="G191" s="2"/>
      <c r="H191" s="2"/>
      <c r="I191" s="2"/>
      <c r="K191" s="152"/>
    </row>
    <row r="192" spans="1:12" ht="15.75" x14ac:dyDescent="0.25">
      <c r="A192" s="313" t="s">
        <v>466</v>
      </c>
      <c r="B192" s="313"/>
      <c r="C192" s="313"/>
      <c r="D192" s="313"/>
      <c r="E192" s="313"/>
      <c r="F192" s="2"/>
      <c r="G192" s="2"/>
      <c r="I192" s="2"/>
      <c r="K192" s="152"/>
    </row>
    <row r="193" spans="1:11" x14ac:dyDescent="0.25">
      <c r="A193" s="22"/>
      <c r="B193" s="2"/>
      <c r="C193" s="2"/>
      <c r="D193" s="2"/>
      <c r="E193" s="2"/>
      <c r="F193" s="2"/>
      <c r="G193" s="2"/>
      <c r="H193" s="2"/>
      <c r="I193" s="2"/>
    </row>
    <row r="194" spans="1:11" ht="15.75" x14ac:dyDescent="0.25">
      <c r="A194" s="2"/>
      <c r="B194" s="2"/>
      <c r="C194" s="587" t="s">
        <v>467</v>
      </c>
      <c r="D194" s="587"/>
      <c r="E194" s="587"/>
      <c r="F194" s="587"/>
      <c r="G194" s="587"/>
      <c r="H194" s="2"/>
      <c r="I194" s="2"/>
    </row>
    <row r="195" spans="1:11" ht="15.75" x14ac:dyDescent="0.25">
      <c r="A195" s="2"/>
      <c r="B195" s="2"/>
      <c r="C195" s="43" t="s">
        <v>246</v>
      </c>
      <c r="D195" s="49"/>
      <c r="E195" s="49"/>
      <c r="F195" s="146">
        <f>E49</f>
        <v>3.35</v>
      </c>
      <c r="G195" s="50" t="s">
        <v>304</v>
      </c>
      <c r="H195" s="2"/>
      <c r="I195" s="2"/>
    </row>
    <row r="196" spans="1:11" ht="15.75" x14ac:dyDescent="0.25">
      <c r="A196" s="2"/>
      <c r="B196" s="2"/>
      <c r="C196" s="43" t="s">
        <v>247</v>
      </c>
      <c r="D196" s="49"/>
      <c r="E196" s="49"/>
      <c r="F196" s="146">
        <f>E50</f>
        <v>0.16</v>
      </c>
      <c r="G196" s="50" t="s">
        <v>305</v>
      </c>
      <c r="H196" s="2"/>
      <c r="I196" s="2"/>
    </row>
    <row r="197" spans="1:11" ht="15.75" x14ac:dyDescent="0.25">
      <c r="A197" s="2"/>
      <c r="B197" s="2"/>
      <c r="C197" s="43" t="s">
        <v>425</v>
      </c>
      <c r="D197" s="49"/>
      <c r="E197" s="49"/>
      <c r="F197" s="146">
        <f>E51</f>
        <v>0.26</v>
      </c>
      <c r="G197" s="50" t="s">
        <v>305</v>
      </c>
      <c r="H197" s="2"/>
      <c r="I197" s="2"/>
    </row>
    <row r="198" spans="1:11" x14ac:dyDescent="0.25">
      <c r="A198" s="2"/>
      <c r="B198" s="2"/>
      <c r="C198" s="25"/>
      <c r="D198" s="2"/>
      <c r="E198" s="2"/>
      <c r="F198" s="179"/>
      <c r="G198" s="2"/>
      <c r="H198" s="2"/>
      <c r="I198" s="2"/>
    </row>
    <row r="199" spans="1:11" x14ac:dyDescent="0.25">
      <c r="A199" s="2"/>
      <c r="B199" s="2"/>
      <c r="C199" s="6"/>
      <c r="D199" s="2"/>
      <c r="E199" s="2"/>
      <c r="F199" s="2"/>
      <c r="G199" s="2"/>
      <c r="H199" s="2"/>
      <c r="I199" s="2"/>
    </row>
    <row r="200" spans="1:11" x14ac:dyDescent="0.25">
      <c r="A200" s="2"/>
      <c r="B200" s="537" t="s">
        <v>468</v>
      </c>
      <c r="C200" s="537"/>
      <c r="D200" s="537"/>
      <c r="E200" s="537"/>
      <c r="F200" s="537"/>
      <c r="G200" s="537"/>
      <c r="H200" s="537"/>
      <c r="I200" s="2"/>
    </row>
    <row r="201" spans="1:11" x14ac:dyDescent="0.25">
      <c r="A201" s="2"/>
      <c r="B201" s="2"/>
      <c r="C201" s="215"/>
      <c r="D201" s="563" t="s">
        <v>249</v>
      </c>
      <c r="E201" s="563"/>
      <c r="F201" s="225">
        <v>0.05</v>
      </c>
      <c r="G201" s="215"/>
      <c r="H201" s="2"/>
      <c r="I201" s="2"/>
    </row>
    <row r="202" spans="1:11" ht="15.75" x14ac:dyDescent="0.25">
      <c r="A202" s="2"/>
      <c r="B202" s="2"/>
      <c r="C202" s="55" t="s">
        <v>246</v>
      </c>
      <c r="D202" s="314"/>
      <c r="E202" s="314"/>
      <c r="F202" s="40">
        <f>(F195*G141)+(F195*G141)*F201</f>
        <v>63.315000000000005</v>
      </c>
      <c r="G202" s="41" t="s">
        <v>306</v>
      </c>
      <c r="H202" s="2"/>
      <c r="I202" s="180"/>
    </row>
    <row r="203" spans="1:11" x14ac:dyDescent="0.25">
      <c r="A203" s="2"/>
      <c r="B203" s="2"/>
      <c r="C203" s="55" t="s">
        <v>247</v>
      </c>
      <c r="D203" s="314"/>
      <c r="E203" s="314"/>
      <c r="F203" s="40">
        <f>(F196*G141)+(F196*G141)*F201</f>
        <v>3.024</v>
      </c>
      <c r="G203" s="41" t="s">
        <v>169</v>
      </c>
      <c r="H203" s="2"/>
      <c r="I203" s="180"/>
    </row>
    <row r="204" spans="1:11" x14ac:dyDescent="0.25">
      <c r="A204" s="2"/>
      <c r="B204" s="2"/>
      <c r="C204" s="55" t="s">
        <v>426</v>
      </c>
      <c r="D204" s="314"/>
      <c r="E204" s="314"/>
      <c r="F204" s="40">
        <f>(F197*G141)+(F197*G141)*F201</f>
        <v>4.9139999999999997</v>
      </c>
      <c r="G204" s="41" t="s">
        <v>169</v>
      </c>
      <c r="H204" s="2"/>
      <c r="I204" s="180"/>
    </row>
    <row r="205" spans="1:11" x14ac:dyDescent="0.25">
      <c r="A205" s="2"/>
      <c r="B205" s="2"/>
      <c r="C205" s="6"/>
      <c r="D205" s="2"/>
      <c r="E205" s="2"/>
      <c r="F205" s="2"/>
      <c r="G205" s="2"/>
      <c r="H205" s="2"/>
      <c r="I205" s="2"/>
    </row>
    <row r="206" spans="1:11" x14ac:dyDescent="0.25">
      <c r="A206" s="2"/>
      <c r="B206" s="2"/>
      <c r="C206" s="2"/>
      <c r="D206" s="2"/>
      <c r="E206" s="2"/>
      <c r="F206" s="2"/>
      <c r="G206" s="2"/>
      <c r="H206" s="2"/>
      <c r="I206" s="2"/>
      <c r="K206" s="152"/>
    </row>
    <row r="207" spans="1:11" x14ac:dyDescent="0.25">
      <c r="A207" s="2"/>
      <c r="B207" s="2"/>
      <c r="C207" s="2"/>
      <c r="D207" s="2"/>
      <c r="E207" s="2"/>
      <c r="F207" s="2"/>
      <c r="G207" s="2"/>
      <c r="H207" s="2"/>
      <c r="I207" s="2"/>
      <c r="K207" s="152"/>
    </row>
    <row r="208" spans="1:11" x14ac:dyDescent="0.25">
      <c r="A208" s="2"/>
      <c r="B208" s="2"/>
      <c r="C208" s="2"/>
      <c r="D208" s="2"/>
      <c r="E208" s="2"/>
      <c r="F208" s="2"/>
      <c r="G208" s="2"/>
      <c r="H208" s="2"/>
      <c r="I208" s="2"/>
      <c r="K208" s="152"/>
    </row>
    <row r="209" spans="1:12" ht="15.75" x14ac:dyDescent="0.25">
      <c r="A209" s="686" t="s">
        <v>43</v>
      </c>
      <c r="B209" s="686"/>
      <c r="C209" s="686"/>
      <c r="E209" s="2"/>
      <c r="F209" s="2"/>
      <c r="G209" s="2"/>
      <c r="I209" s="2"/>
      <c r="K209" s="152"/>
    </row>
    <row r="210" spans="1:12" x14ac:dyDescent="0.25">
      <c r="A210" s="2"/>
      <c r="B210" s="2"/>
      <c r="C210" s="2"/>
      <c r="D210" s="2"/>
      <c r="E210" s="61"/>
      <c r="F210" s="62"/>
      <c r="G210" s="63"/>
      <c r="H210" s="2"/>
      <c r="I210" s="2"/>
    </row>
    <row r="211" spans="1:12" x14ac:dyDescent="0.25">
      <c r="A211" s="2"/>
      <c r="B211" s="2"/>
      <c r="C211" s="2"/>
      <c r="D211" s="2"/>
      <c r="E211" s="64"/>
      <c r="F211" s="65"/>
      <c r="G211" s="66"/>
      <c r="H211" s="2"/>
      <c r="I211" s="2"/>
      <c r="K211" s="83"/>
    </row>
    <row r="212" spans="1:12" x14ac:dyDescent="0.25">
      <c r="A212" s="2"/>
      <c r="B212" s="2"/>
      <c r="C212" s="2"/>
      <c r="D212" s="2"/>
      <c r="E212" s="2"/>
      <c r="F212" s="2"/>
      <c r="G212" s="2"/>
      <c r="I212" s="2"/>
      <c r="K212" s="83"/>
    </row>
    <row r="213" spans="1:12" x14ac:dyDescent="0.25">
      <c r="A213" s="2"/>
      <c r="B213" s="2"/>
      <c r="C213" s="2"/>
      <c r="D213" s="596" t="s">
        <v>44</v>
      </c>
      <c r="E213" s="596"/>
      <c r="F213" s="67">
        <f>C55</f>
        <v>8</v>
      </c>
      <c r="G213" s="25" t="s">
        <v>7</v>
      </c>
      <c r="H213" s="2"/>
      <c r="I213" s="2"/>
      <c r="K213" s="83"/>
    </row>
    <row r="214" spans="1:12" x14ac:dyDescent="0.25">
      <c r="A214" s="2"/>
      <c r="B214" s="2"/>
      <c r="C214" s="2"/>
      <c r="D214" s="2"/>
      <c r="E214" s="2"/>
      <c r="F214" s="2"/>
      <c r="G214" s="2"/>
      <c r="H214" s="2"/>
      <c r="I214" s="2"/>
      <c r="K214" s="83"/>
    </row>
    <row r="215" spans="1:12" ht="15.75" x14ac:dyDescent="0.25">
      <c r="A215" s="2"/>
      <c r="B215" s="22" t="s">
        <v>469</v>
      </c>
      <c r="C215" s="2"/>
      <c r="D215" s="2"/>
      <c r="E215" s="2"/>
      <c r="F215" s="2"/>
      <c r="G215" s="2"/>
      <c r="H215" s="2"/>
      <c r="I215" s="2"/>
      <c r="K215" s="83"/>
    </row>
    <row r="216" spans="1:12" ht="15.75" x14ac:dyDescent="0.25">
      <c r="A216" s="2"/>
      <c r="B216" s="2"/>
      <c r="C216" s="499" t="s">
        <v>45</v>
      </c>
      <c r="D216" s="499"/>
      <c r="E216" s="68">
        <f>C59</f>
        <v>12</v>
      </c>
      <c r="F216" s="2" t="s">
        <v>166</v>
      </c>
      <c r="G216" s="2"/>
      <c r="H216" s="2"/>
      <c r="I216" s="2"/>
      <c r="K216" s="83"/>
    </row>
    <row r="217" spans="1:12" x14ac:dyDescent="0.25">
      <c r="A217" s="2"/>
      <c r="B217" s="2"/>
      <c r="C217" s="500" t="s">
        <v>46</v>
      </c>
      <c r="D217" s="501"/>
      <c r="E217" s="504" t="s">
        <v>47</v>
      </c>
      <c r="F217" s="505" t="s">
        <v>48</v>
      </c>
      <c r="G217" s="507" t="s">
        <v>49</v>
      </c>
      <c r="H217" s="2"/>
      <c r="I217" s="2"/>
      <c r="K217" s="83"/>
    </row>
    <row r="218" spans="1:12" x14ac:dyDescent="0.25">
      <c r="A218" s="2"/>
      <c r="B218" s="2"/>
      <c r="C218" s="614"/>
      <c r="D218" s="615"/>
      <c r="E218" s="504"/>
      <c r="F218" s="506"/>
      <c r="G218" s="507"/>
      <c r="H218" s="2"/>
      <c r="I218" s="2"/>
      <c r="K218" s="83"/>
    </row>
    <row r="219" spans="1:12" ht="15" customHeight="1" x14ac:dyDescent="0.25">
      <c r="A219" s="2"/>
      <c r="B219" s="2"/>
      <c r="C219" s="149"/>
      <c r="D219" s="150"/>
      <c r="E219" s="69" t="s">
        <v>11</v>
      </c>
      <c r="F219" s="70">
        <f>E59</f>
        <v>0.1</v>
      </c>
      <c r="G219" s="71">
        <f>(F219*$F$213)/$E$216</f>
        <v>6.6666666666666666E-2</v>
      </c>
      <c r="H219" s="2"/>
      <c r="I219" s="2"/>
    </row>
    <row r="220" spans="1:12" ht="15" customHeight="1" x14ac:dyDescent="0.25">
      <c r="A220" s="2"/>
      <c r="B220" s="2"/>
      <c r="C220" s="606" t="str">
        <f>A59</f>
        <v>CONCRETO PARA SOBRECIMIENTOS</v>
      </c>
      <c r="D220" s="607"/>
      <c r="E220" s="69" t="s">
        <v>12</v>
      </c>
      <c r="F220" s="70">
        <f>F59</f>
        <v>1</v>
      </c>
      <c r="G220" s="71">
        <f t="shared" ref="G220:G223" si="1">(F220*$F$213)/$E$216</f>
        <v>0.66666666666666663</v>
      </c>
      <c r="H220" s="2"/>
      <c r="I220" s="2"/>
    </row>
    <row r="221" spans="1:12" x14ac:dyDescent="0.25">
      <c r="A221" s="2"/>
      <c r="B221" s="2"/>
      <c r="C221" s="606"/>
      <c r="D221" s="607"/>
      <c r="E221" s="69" t="s">
        <v>13</v>
      </c>
      <c r="F221" s="70">
        <f>G59</f>
        <v>2</v>
      </c>
      <c r="G221" s="71">
        <f t="shared" si="1"/>
        <v>1.3333333333333333</v>
      </c>
      <c r="H221" s="2"/>
      <c r="I221" s="2"/>
    </row>
    <row r="222" spans="1:12" ht="15.75" customHeight="1" x14ac:dyDescent="0.25">
      <c r="A222" s="2"/>
      <c r="B222" s="2"/>
      <c r="C222" s="606" t="str">
        <f>A61</f>
        <v>1:8 + 25% PM</v>
      </c>
      <c r="D222" s="607"/>
      <c r="E222" s="69" t="s">
        <v>14</v>
      </c>
      <c r="F222" s="70">
        <f>H59</f>
        <v>8</v>
      </c>
      <c r="G222" s="71">
        <f t="shared" si="1"/>
        <v>5.333333333333333</v>
      </c>
      <c r="H222" s="2"/>
      <c r="I222" s="2"/>
    </row>
    <row r="223" spans="1:12" ht="15.75" customHeight="1" x14ac:dyDescent="0.25">
      <c r="A223" s="2"/>
      <c r="B223" s="2"/>
      <c r="C223" s="72"/>
      <c r="D223" s="73"/>
      <c r="E223" s="74" t="s">
        <v>50</v>
      </c>
      <c r="F223" s="70">
        <f>I59</f>
        <v>1</v>
      </c>
      <c r="G223" s="71">
        <f t="shared" si="1"/>
        <v>0.66666666666666663</v>
      </c>
      <c r="H223" s="2"/>
      <c r="I223" s="2"/>
    </row>
    <row r="224" spans="1:12" x14ac:dyDescent="0.25">
      <c r="A224" s="2"/>
      <c r="B224" s="2"/>
      <c r="C224" s="2"/>
      <c r="D224" s="2"/>
      <c r="E224" s="2"/>
      <c r="F224" s="2"/>
      <c r="G224" s="2"/>
      <c r="H224" s="2"/>
      <c r="I224" s="2"/>
      <c r="K224" s="154"/>
      <c r="L224" s="154"/>
    </row>
    <row r="225" spans="1:12" x14ac:dyDescent="0.25">
      <c r="A225" s="2"/>
      <c r="B225" s="2"/>
      <c r="C225" s="2"/>
      <c r="D225" s="2"/>
      <c r="E225" s="2"/>
      <c r="F225" s="2"/>
      <c r="G225" s="2"/>
      <c r="H225" s="2"/>
      <c r="I225" s="2"/>
      <c r="K225" s="154"/>
      <c r="L225" s="154"/>
    </row>
    <row r="226" spans="1:12" ht="15.75" x14ac:dyDescent="0.25">
      <c r="A226" s="2"/>
      <c r="B226" s="22" t="s">
        <v>470</v>
      </c>
      <c r="C226" s="2"/>
      <c r="D226" s="2"/>
      <c r="E226" s="2"/>
      <c r="F226" s="2"/>
      <c r="G226" s="2"/>
      <c r="H226" s="2"/>
      <c r="I226" s="2"/>
      <c r="K226" s="83"/>
    </row>
    <row r="227" spans="1:12" ht="15.75" x14ac:dyDescent="0.25">
      <c r="A227" s="2"/>
      <c r="B227" s="2"/>
      <c r="C227" s="499" t="s">
        <v>45</v>
      </c>
      <c r="D227" s="499"/>
      <c r="E227" s="68">
        <f>C62</f>
        <v>16</v>
      </c>
      <c r="F227" s="2" t="s">
        <v>310</v>
      </c>
      <c r="G227" s="2"/>
      <c r="H227" s="2"/>
      <c r="I227" s="2"/>
      <c r="K227" s="83"/>
    </row>
    <row r="228" spans="1:12" x14ac:dyDescent="0.25">
      <c r="A228" s="2"/>
      <c r="B228" s="2"/>
      <c r="C228" s="500" t="s">
        <v>46</v>
      </c>
      <c r="D228" s="501"/>
      <c r="E228" s="504" t="s">
        <v>47</v>
      </c>
      <c r="F228" s="505" t="s">
        <v>48</v>
      </c>
      <c r="G228" s="507" t="s">
        <v>49</v>
      </c>
      <c r="H228" s="2"/>
      <c r="I228" s="2"/>
      <c r="K228" s="83"/>
    </row>
    <row r="229" spans="1:12" x14ac:dyDescent="0.25">
      <c r="A229" s="2"/>
      <c r="B229" s="2"/>
      <c r="C229" s="614"/>
      <c r="D229" s="615"/>
      <c r="E229" s="504"/>
      <c r="F229" s="506"/>
      <c r="G229" s="507"/>
      <c r="H229" s="2"/>
      <c r="I229" s="2"/>
      <c r="K229" s="83"/>
    </row>
    <row r="230" spans="1:12" ht="15" customHeight="1" x14ac:dyDescent="0.25">
      <c r="A230" s="2"/>
      <c r="B230" s="2"/>
      <c r="C230" s="508" t="str">
        <f>A62</f>
        <v>ENCOFRADO Y DESENCOF. NORMAL SOBRECIMIENTOS</v>
      </c>
      <c r="D230" s="509"/>
      <c r="E230" s="69" t="s">
        <v>11</v>
      </c>
      <c r="F230" s="70">
        <f>E62</f>
        <v>0.1</v>
      </c>
      <c r="G230" s="71">
        <f>(F230*$F$213)/$E$216</f>
        <v>6.6666666666666666E-2</v>
      </c>
      <c r="H230" s="2"/>
      <c r="I230" s="2"/>
    </row>
    <row r="231" spans="1:12" ht="15" customHeight="1" x14ac:dyDescent="0.25">
      <c r="A231" s="2"/>
      <c r="B231" s="2"/>
      <c r="C231" s="606"/>
      <c r="D231" s="607"/>
      <c r="E231" s="69" t="s">
        <v>12</v>
      </c>
      <c r="F231" s="70">
        <f>F62</f>
        <v>1</v>
      </c>
      <c r="G231" s="71">
        <f>(F231*$F$213)/$E$216</f>
        <v>0.66666666666666663</v>
      </c>
      <c r="H231" s="2"/>
      <c r="I231" s="2"/>
    </row>
    <row r="232" spans="1:12" x14ac:dyDescent="0.25">
      <c r="A232" s="2"/>
      <c r="B232" s="2"/>
      <c r="C232" s="606"/>
      <c r="D232" s="607"/>
      <c r="E232" s="69" t="s">
        <v>13</v>
      </c>
      <c r="F232" s="70">
        <f>G62</f>
        <v>1</v>
      </c>
      <c r="G232" s="71">
        <f>(F232*$F$213)/$E$216</f>
        <v>0.66666666666666663</v>
      </c>
      <c r="H232" s="2"/>
      <c r="I232" s="2"/>
    </row>
    <row r="233" spans="1:12" ht="15.75" customHeight="1" x14ac:dyDescent="0.25">
      <c r="A233" s="2"/>
      <c r="B233" s="2"/>
      <c r="C233" s="510"/>
      <c r="D233" s="511"/>
      <c r="E233" s="69" t="s">
        <v>14</v>
      </c>
      <c r="F233" s="70">
        <f>H62</f>
        <v>0</v>
      </c>
      <c r="G233" s="71">
        <f>(F233*$F$213)/$E$216</f>
        <v>0</v>
      </c>
      <c r="H233" s="2"/>
      <c r="I233" s="2"/>
    </row>
    <row r="234" spans="1:12" x14ac:dyDescent="0.25">
      <c r="A234" s="2"/>
      <c r="B234" s="2"/>
      <c r="C234" s="2"/>
      <c r="D234" s="2"/>
      <c r="E234" s="2"/>
      <c r="F234" s="2"/>
      <c r="G234" s="2"/>
      <c r="H234" s="2"/>
      <c r="I234" s="2"/>
      <c r="K234" s="154"/>
      <c r="L234" s="154"/>
    </row>
    <row r="235" spans="1:12" x14ac:dyDescent="0.25">
      <c r="A235" s="2"/>
      <c r="B235" s="2"/>
      <c r="C235" s="2"/>
      <c r="D235" s="2"/>
      <c r="E235" s="2"/>
      <c r="F235" s="2"/>
      <c r="G235" s="2"/>
      <c r="H235" s="2"/>
      <c r="I235" s="2"/>
      <c r="K235" s="154"/>
      <c r="L235" s="154"/>
    </row>
    <row r="236" spans="1:12" x14ac:dyDescent="0.25">
      <c r="A236" s="2"/>
      <c r="B236" s="2"/>
      <c r="C236" s="2"/>
      <c r="D236" s="2"/>
      <c r="E236" s="2"/>
      <c r="F236" s="2"/>
      <c r="G236" s="2"/>
      <c r="H236" s="2"/>
      <c r="I236" s="2"/>
    </row>
    <row r="237" spans="1:12" ht="15.75" x14ac:dyDescent="0.25">
      <c r="A237" s="685" t="s">
        <v>51</v>
      </c>
      <c r="B237" s="685"/>
      <c r="C237" s="685"/>
      <c r="D237" s="685"/>
      <c r="E237" s="2"/>
      <c r="F237" s="2"/>
      <c r="G237" s="2"/>
      <c r="H237" s="2"/>
      <c r="I237" s="2"/>
    </row>
    <row r="238" spans="1:12" x14ac:dyDescent="0.25">
      <c r="A238" s="2"/>
      <c r="B238" s="2"/>
      <c r="C238" s="2"/>
      <c r="D238" s="2"/>
      <c r="E238" s="2"/>
      <c r="F238" s="2"/>
      <c r="G238" s="2"/>
      <c r="H238" s="2"/>
      <c r="I238" s="2"/>
    </row>
    <row r="239" spans="1:12" ht="15.75" x14ac:dyDescent="0.25">
      <c r="A239" s="2"/>
      <c r="B239" s="22" t="s">
        <v>471</v>
      </c>
      <c r="C239" s="2"/>
      <c r="D239" s="2"/>
      <c r="E239" s="2"/>
      <c r="F239" s="2"/>
      <c r="G239" s="2"/>
      <c r="H239" s="2"/>
      <c r="I239" s="2"/>
    </row>
    <row r="240" spans="1:12" ht="15.75" x14ac:dyDescent="0.25">
      <c r="A240" s="2"/>
      <c r="B240" s="2"/>
      <c r="C240" s="499" t="s">
        <v>45</v>
      </c>
      <c r="D240" s="499"/>
      <c r="E240" s="68">
        <f>C59</f>
        <v>12</v>
      </c>
      <c r="F240" s="2" t="s">
        <v>166</v>
      </c>
      <c r="G240" s="2"/>
      <c r="H240" s="2"/>
      <c r="I240" s="2"/>
    </row>
    <row r="241" spans="1:12" x14ac:dyDescent="0.25">
      <c r="A241" s="2"/>
      <c r="B241" s="2"/>
      <c r="C241" s="500" t="s">
        <v>46</v>
      </c>
      <c r="D241" s="501"/>
      <c r="E241" s="504" t="s">
        <v>52</v>
      </c>
      <c r="F241" s="505" t="s">
        <v>48</v>
      </c>
      <c r="G241" s="507" t="s">
        <v>53</v>
      </c>
      <c r="H241" s="2"/>
      <c r="I241" s="2"/>
    </row>
    <row r="242" spans="1:12" x14ac:dyDescent="0.25">
      <c r="A242" s="2"/>
      <c r="B242" s="2"/>
      <c r="C242" s="502"/>
      <c r="D242" s="503"/>
      <c r="E242" s="504"/>
      <c r="F242" s="506"/>
      <c r="G242" s="507"/>
      <c r="H242" s="2"/>
      <c r="I242" s="2"/>
    </row>
    <row r="243" spans="1:12" x14ac:dyDescent="0.25">
      <c r="A243" s="2"/>
      <c r="B243" s="2"/>
      <c r="C243" s="508" t="str">
        <f>A59</f>
        <v>CONCRETO PARA SOBRECIMIENTOS</v>
      </c>
      <c r="D243" s="509"/>
      <c r="E243" s="512" t="s">
        <v>54</v>
      </c>
      <c r="F243" s="514">
        <f>E69</f>
        <v>1</v>
      </c>
      <c r="G243" s="516">
        <f>(F243*F213)/E240</f>
        <v>0.66666666666666663</v>
      </c>
      <c r="H243" s="2"/>
      <c r="I243" s="2"/>
    </row>
    <row r="244" spans="1:12" ht="21.75" customHeight="1" x14ac:dyDescent="0.25">
      <c r="A244" s="2"/>
      <c r="B244" s="2"/>
      <c r="C244" s="510"/>
      <c r="D244" s="511"/>
      <c r="E244" s="513"/>
      <c r="F244" s="515"/>
      <c r="G244" s="517"/>
      <c r="H244" s="2"/>
      <c r="I244" s="2"/>
    </row>
    <row r="245" spans="1:12" x14ac:dyDescent="0.25">
      <c r="A245" s="2"/>
      <c r="B245" s="2"/>
      <c r="C245" s="2"/>
      <c r="D245" s="2"/>
      <c r="E245" s="2"/>
      <c r="F245" s="2"/>
      <c r="G245" s="2"/>
      <c r="H245" s="2"/>
      <c r="I245" s="2"/>
    </row>
    <row r="246" spans="1:12" x14ac:dyDescent="0.25">
      <c r="A246" s="2"/>
      <c r="B246" s="2"/>
      <c r="C246" s="2"/>
      <c r="D246" s="2"/>
      <c r="E246" s="2"/>
      <c r="F246" s="2"/>
      <c r="G246" s="2"/>
      <c r="H246" s="2"/>
      <c r="I246" s="2"/>
    </row>
    <row r="247" spans="1:12" x14ac:dyDescent="0.25">
      <c r="A247" s="2"/>
      <c r="B247" s="2"/>
      <c r="C247" s="2"/>
      <c r="D247" s="2"/>
      <c r="E247" s="2"/>
      <c r="F247" s="2"/>
      <c r="G247" s="2"/>
      <c r="H247" s="2"/>
      <c r="I247" s="2"/>
    </row>
    <row r="248" spans="1:12" ht="15.75" x14ac:dyDescent="0.25">
      <c r="A248" s="647" t="s">
        <v>55</v>
      </c>
      <c r="B248" s="647"/>
      <c r="C248" s="647"/>
      <c r="D248" s="647"/>
      <c r="E248" s="2"/>
      <c r="F248" s="2"/>
      <c r="G248" s="2"/>
      <c r="H248" s="2"/>
      <c r="I248" s="2"/>
    </row>
    <row r="249" spans="1:12" ht="15.75" x14ac:dyDescent="0.25">
      <c r="A249" s="153"/>
      <c r="B249" s="153"/>
      <c r="C249" s="153"/>
      <c r="D249" s="153"/>
      <c r="E249" s="2"/>
      <c r="F249" s="2"/>
      <c r="G249" s="2"/>
      <c r="H249" s="2"/>
      <c r="I249" s="2"/>
    </row>
    <row r="250" spans="1:12" ht="15.75" x14ac:dyDescent="0.25">
      <c r="A250" s="153"/>
      <c r="B250" s="153"/>
      <c r="C250" s="153"/>
      <c r="D250" s="153"/>
      <c r="E250" s="2"/>
      <c r="F250" s="2"/>
      <c r="G250" s="2"/>
      <c r="H250" s="2"/>
      <c r="I250" s="2"/>
    </row>
    <row r="251" spans="1:12" ht="15.75" customHeight="1" x14ac:dyDescent="0.25">
      <c r="A251" s="2"/>
      <c r="B251" s="2"/>
      <c r="C251" s="455" t="s">
        <v>171</v>
      </c>
      <c r="D251" s="455"/>
      <c r="E251" s="456" t="str">
        <f>IF(D128="SI","MAYOR A 50 UIT",IF(AND(D128="NO"),"MENOR A 50 UIT"))</f>
        <v>MAYOR A 50 UIT</v>
      </c>
      <c r="F251" s="456"/>
      <c r="G251" s="31"/>
      <c r="H251" s="31"/>
      <c r="I251" s="31"/>
      <c r="J251" s="154"/>
    </row>
    <row r="252" spans="1:12" ht="15.75" customHeight="1" x14ac:dyDescent="0.25">
      <c r="A252" s="2"/>
      <c r="B252" s="2"/>
      <c r="C252" s="455" t="s">
        <v>172</v>
      </c>
      <c r="D252" s="455"/>
      <c r="E252" s="6" t="str">
        <f>IF(E94="Incluido IGV","INCLUIDO IGV",IF(AND(E94="Sin IGV"),"SIN IGV"))</f>
        <v>SIN IGV</v>
      </c>
      <c r="F252" s="25"/>
      <c r="G252" s="2"/>
      <c r="H252" s="2"/>
      <c r="I252" s="2"/>
      <c r="K252" s="154"/>
      <c r="L252" s="154"/>
    </row>
    <row r="253" spans="1:12" ht="15.75" customHeight="1" x14ac:dyDescent="0.25">
      <c r="A253" s="2"/>
      <c r="B253" s="2"/>
      <c r="C253" s="77"/>
      <c r="D253" s="77"/>
      <c r="E253" s="4"/>
      <c r="F253" s="2"/>
      <c r="G253" s="2"/>
      <c r="H253" s="2"/>
      <c r="I253" s="2"/>
    </row>
    <row r="254" spans="1:12" x14ac:dyDescent="0.25">
      <c r="A254" s="2"/>
      <c r="B254" s="2"/>
      <c r="C254" s="2"/>
      <c r="D254" s="2"/>
      <c r="E254" s="2"/>
      <c r="F254" s="2"/>
      <c r="G254" s="2"/>
      <c r="H254" s="2"/>
      <c r="I254" s="2"/>
    </row>
    <row r="255" spans="1:12" x14ac:dyDescent="0.25">
      <c r="A255" s="495" t="s">
        <v>56</v>
      </c>
      <c r="B255" s="495"/>
      <c r="C255" s="496" t="s">
        <v>452</v>
      </c>
      <c r="D255" s="496"/>
      <c r="E255" s="496"/>
      <c r="F255" s="75" t="str">
        <f>A61</f>
        <v>1:8 + 25% PM</v>
      </c>
      <c r="G255" s="4"/>
      <c r="H255" s="151"/>
      <c r="I255" s="2"/>
    </row>
    <row r="256" spans="1:12" ht="15.75" x14ac:dyDescent="0.25">
      <c r="A256" s="2"/>
      <c r="B256" s="2"/>
      <c r="C256" s="32" t="s">
        <v>57</v>
      </c>
      <c r="D256" s="68">
        <f>C59</f>
        <v>12</v>
      </c>
      <c r="E256" s="2" t="s">
        <v>168</v>
      </c>
      <c r="F256" s="2"/>
      <c r="G256" s="2"/>
      <c r="H256" s="2"/>
      <c r="I256" s="2"/>
    </row>
    <row r="257" spans="1:10" ht="15.75" x14ac:dyDescent="0.25">
      <c r="A257" s="2"/>
      <c r="B257" s="2"/>
      <c r="C257" s="32" t="s">
        <v>58</v>
      </c>
      <c r="D257" s="76" t="s">
        <v>42</v>
      </c>
      <c r="E257" s="2"/>
      <c r="F257" s="77"/>
      <c r="G257" s="77" t="s">
        <v>59</v>
      </c>
      <c r="H257" s="78">
        <f>H260+H266+H273</f>
        <v>302.34759267889973</v>
      </c>
      <c r="I257" s="2"/>
      <c r="J257" s="79"/>
    </row>
    <row r="258" spans="1:10" x14ac:dyDescent="0.25">
      <c r="A258" s="497"/>
      <c r="B258" s="497"/>
      <c r="C258" s="26" t="s">
        <v>60</v>
      </c>
      <c r="D258" s="26" t="s">
        <v>61</v>
      </c>
      <c r="E258" s="26" t="s">
        <v>62</v>
      </c>
      <c r="F258" s="26" t="s">
        <v>63</v>
      </c>
      <c r="G258" s="497" t="s">
        <v>64</v>
      </c>
      <c r="H258" s="497"/>
      <c r="I258" s="2"/>
    </row>
    <row r="259" spans="1:10" x14ac:dyDescent="0.25">
      <c r="A259" s="470" t="s">
        <v>65</v>
      </c>
      <c r="B259" s="470"/>
      <c r="C259" s="470"/>
      <c r="D259" s="470"/>
      <c r="E259" s="470"/>
      <c r="F259" s="470"/>
      <c r="G259" s="498"/>
      <c r="H259" s="498"/>
      <c r="I259" s="2"/>
    </row>
    <row r="260" spans="1:10" x14ac:dyDescent="0.25">
      <c r="A260" s="469" t="s">
        <v>66</v>
      </c>
      <c r="B260" s="469"/>
      <c r="C260" s="11" t="s">
        <v>67</v>
      </c>
      <c r="D260" s="81">
        <f>G219</f>
        <v>6.6666666666666666E-2</v>
      </c>
      <c r="E260" s="12">
        <f>IF(D128="SI",G117,IF(AND(D128="NO"),((E103*1.1)/8)))</f>
        <v>26.646464625</v>
      </c>
      <c r="F260" s="82">
        <f>D260*E260</f>
        <v>1.776430975</v>
      </c>
      <c r="G260" s="473" t="s">
        <v>24</v>
      </c>
      <c r="H260" s="475">
        <f>F260+F261+F262+F263+F264</f>
        <v>153.04307994166663</v>
      </c>
      <c r="I260" s="2"/>
      <c r="J260" s="54"/>
    </row>
    <row r="261" spans="1:10" x14ac:dyDescent="0.25">
      <c r="A261" s="469" t="s">
        <v>68</v>
      </c>
      <c r="B261" s="469"/>
      <c r="C261" s="11" t="s">
        <v>67</v>
      </c>
      <c r="D261" s="81">
        <f>G220</f>
        <v>0.66666666666666663</v>
      </c>
      <c r="E261" s="12">
        <f>IF(D128="SI",G118,IF(AND(D128="NO"),(E103/8)))</f>
        <v>24.224058749999998</v>
      </c>
      <c r="F261" s="82">
        <f t="shared" ref="F261:F264" si="2">D261*E261</f>
        <v>16.149372499999998</v>
      </c>
      <c r="G261" s="519"/>
      <c r="H261" s="520"/>
      <c r="I261" s="2"/>
      <c r="J261" s="54"/>
    </row>
    <row r="262" spans="1:10" x14ac:dyDescent="0.25">
      <c r="A262" s="469" t="s">
        <v>69</v>
      </c>
      <c r="B262" s="469"/>
      <c r="C262" s="11" t="s">
        <v>67</v>
      </c>
      <c r="D262" s="81">
        <f>G221</f>
        <v>1.3333333333333333</v>
      </c>
      <c r="E262" s="12">
        <f>IF(D128="SI",G119,IF(AND(D128="NO"),(F103/8)))</f>
        <v>19.121340624999998</v>
      </c>
      <c r="F262" s="82">
        <f t="shared" si="2"/>
        <v>25.495120833333331</v>
      </c>
      <c r="G262" s="519"/>
      <c r="H262" s="520"/>
      <c r="I262" s="2"/>
      <c r="J262" s="54"/>
    </row>
    <row r="263" spans="1:10" x14ac:dyDescent="0.25">
      <c r="A263" s="469" t="s">
        <v>70</v>
      </c>
      <c r="B263" s="469"/>
      <c r="C263" s="11" t="s">
        <v>67</v>
      </c>
      <c r="D263" s="81">
        <f>G222</f>
        <v>5.333333333333333</v>
      </c>
      <c r="E263" s="12">
        <f>IF(D128="SI",G120,IF(AND(D128="NO"),(G103/8)))</f>
        <v>17.283906249999998</v>
      </c>
      <c r="F263" s="82">
        <f t="shared" si="2"/>
        <v>92.180833333333311</v>
      </c>
      <c r="G263" s="519"/>
      <c r="H263" s="520"/>
      <c r="I263" s="2"/>
      <c r="J263" s="54"/>
    </row>
    <row r="264" spans="1:10" x14ac:dyDescent="0.25">
      <c r="A264" s="477" t="s">
        <v>71</v>
      </c>
      <c r="B264" s="478"/>
      <c r="C264" s="11" t="s">
        <v>67</v>
      </c>
      <c r="D264" s="81">
        <f>G223</f>
        <v>0.66666666666666663</v>
      </c>
      <c r="E264" s="12">
        <f>IF(D128="SI",G122,IF(AND(D128="NO"),((E103*1.08)/8)))</f>
        <v>26.161983449999997</v>
      </c>
      <c r="F264" s="82">
        <f t="shared" si="2"/>
        <v>17.441322299999996</v>
      </c>
      <c r="G264" s="474"/>
      <c r="H264" s="476"/>
      <c r="I264" s="2"/>
      <c r="J264" s="54"/>
    </row>
    <row r="265" spans="1:10" x14ac:dyDescent="0.25">
      <c r="A265" s="470" t="s">
        <v>72</v>
      </c>
      <c r="B265" s="470"/>
      <c r="C265" s="470"/>
      <c r="D265" s="470"/>
      <c r="E265" s="470"/>
      <c r="F265" s="470"/>
      <c r="G265" s="471"/>
      <c r="H265" s="471"/>
      <c r="I265" s="2"/>
      <c r="J265" s="54"/>
    </row>
    <row r="266" spans="1:10" x14ac:dyDescent="0.25">
      <c r="A266" s="469" t="s">
        <v>73</v>
      </c>
      <c r="B266" s="469"/>
      <c r="C266" s="11" t="s">
        <v>74</v>
      </c>
      <c r="D266" s="81">
        <f>G161</f>
        <v>3.7</v>
      </c>
      <c r="E266" s="12">
        <f>IF(E94="Incluido IGV",F78,IF(AND(E94="Sin IGV"),H78))</f>
        <v>18.64406779661017</v>
      </c>
      <c r="F266" s="82">
        <f>D266*E266</f>
        <v>68.983050847457633</v>
      </c>
      <c r="G266" s="473" t="s">
        <v>24</v>
      </c>
      <c r="H266" s="475">
        <f>F266+F267+F268+F269+F270+F271</f>
        <v>137.93355932203394</v>
      </c>
      <c r="I266" s="2"/>
    </row>
    <row r="267" spans="1:10" ht="15.75" x14ac:dyDescent="0.25">
      <c r="A267" s="469" t="s">
        <v>75</v>
      </c>
      <c r="B267" s="469"/>
      <c r="C267" s="11" t="s">
        <v>76</v>
      </c>
      <c r="D267" s="81">
        <f>G162</f>
        <v>0.85</v>
      </c>
      <c r="E267" s="12">
        <f>IF(E94="Incluido IGV",F79,IF(AND(E94="Sin IGV"),H79))</f>
        <v>46.610169491525426</v>
      </c>
      <c r="F267" s="82">
        <f t="shared" ref="F267:F271" si="3">D267*E267</f>
        <v>39.618644067796609</v>
      </c>
      <c r="G267" s="519"/>
      <c r="H267" s="520"/>
      <c r="I267" s="2"/>
      <c r="J267" s="54"/>
    </row>
    <row r="268" spans="1:10" ht="15.75" x14ac:dyDescent="0.25">
      <c r="A268" s="477" t="s">
        <v>170</v>
      </c>
      <c r="B268" s="478"/>
      <c r="C268" s="11" t="s">
        <v>76</v>
      </c>
      <c r="D268" s="81">
        <f>G163</f>
        <v>0.42</v>
      </c>
      <c r="E268" s="12">
        <f>IF(E94="Incluido IGV",F80,IF(AND(E94="Sin IGV"),H80))</f>
        <v>63.559322033898312</v>
      </c>
      <c r="F268" s="82">
        <f t="shared" si="3"/>
        <v>26.694915254237291</v>
      </c>
      <c r="G268" s="519"/>
      <c r="H268" s="520"/>
      <c r="I268" s="2"/>
    </row>
    <row r="269" spans="1:10" ht="15.75" x14ac:dyDescent="0.25">
      <c r="A269" s="469" t="s">
        <v>77</v>
      </c>
      <c r="B269" s="469"/>
      <c r="C269" s="11" t="s">
        <v>76</v>
      </c>
      <c r="D269" s="81">
        <f>G164</f>
        <v>0.13</v>
      </c>
      <c r="E269" s="12">
        <f>IF(E94="Incluido IGV",F81,IF(AND(E94="Sin IGV"),H81))</f>
        <v>4.2372881355932206</v>
      </c>
      <c r="F269" s="82">
        <f t="shared" si="3"/>
        <v>0.55084745762711873</v>
      </c>
      <c r="G269" s="519"/>
      <c r="H269" s="520"/>
      <c r="I269" s="2"/>
    </row>
    <row r="270" spans="1:10" x14ac:dyDescent="0.25">
      <c r="A270" s="477" t="str">
        <f>IF(G41="NO","GASOLINA 84 OCTANOS",IF(AND(G41="SI"),"-"))</f>
        <v>GASOLINA 84 OCTANOS</v>
      </c>
      <c r="B270" s="478"/>
      <c r="C270" s="11" t="str">
        <f>IF(G41="NO","galón",IF(AND(G41="SI"),"-"))</f>
        <v>galón</v>
      </c>
      <c r="D270" s="81">
        <f>IF(G41="NO",E38,IF(AND(G41="SI"),0))</f>
        <v>0.24</v>
      </c>
      <c r="E270" s="12">
        <f>IF(E94="Incluido IGV",F82,IF(AND(E94="Sin IGV"),H82))</f>
        <v>8.1271186440677976</v>
      </c>
      <c r="F270" s="82">
        <f t="shared" si="3"/>
        <v>1.9505084745762713</v>
      </c>
      <c r="G270" s="519"/>
      <c r="H270" s="520"/>
      <c r="I270" s="2"/>
    </row>
    <row r="271" spans="1:10" x14ac:dyDescent="0.25">
      <c r="A271" s="477" t="str">
        <f>IF(G42="NO","GRASA MULTIPROPÓSITOS",IF(AND(G42="SI"),"-"))</f>
        <v>GRASA MULTIPROPÓSITOS</v>
      </c>
      <c r="B271" s="478"/>
      <c r="C271" s="11" t="str">
        <f>IF(G42="NO","kg",IF(AND(G42="SI"),"-"))</f>
        <v>kg</v>
      </c>
      <c r="D271" s="81">
        <f>IF(G42="NO",E39,IF(AND(G42="SI"),0))</f>
        <v>8.0000000000000002E-3</v>
      </c>
      <c r="E271" s="12">
        <f>IF(E94="Incluido IGV",F83,IF(AND(E94="Sin IGV"),H83))</f>
        <v>16.949152542372882</v>
      </c>
      <c r="F271" s="82">
        <f t="shared" si="3"/>
        <v>0.13559322033898305</v>
      </c>
      <c r="G271" s="474"/>
      <c r="H271" s="476"/>
      <c r="I271" s="2"/>
    </row>
    <row r="272" spans="1:10" x14ac:dyDescent="0.25">
      <c r="A272" s="470" t="s">
        <v>78</v>
      </c>
      <c r="B272" s="470"/>
      <c r="C272" s="470"/>
      <c r="D272" s="470"/>
      <c r="E272" s="470"/>
      <c r="F272" s="470"/>
      <c r="G272" s="471"/>
      <c r="H272" s="471"/>
      <c r="I272" s="2"/>
    </row>
    <row r="273" spans="1:10" x14ac:dyDescent="0.25">
      <c r="A273" s="472" t="s">
        <v>79</v>
      </c>
      <c r="B273" s="472"/>
      <c r="C273" s="11" t="s">
        <v>80</v>
      </c>
      <c r="D273" s="71">
        <f>G243</f>
        <v>0.66666666666666663</v>
      </c>
      <c r="E273" s="84">
        <f>IF(E94="Incluido IGV",F91,IF(AND(E94="Sin IGV"),H91))</f>
        <v>10.16949152542373</v>
      </c>
      <c r="F273" s="85">
        <f>D273*E273</f>
        <v>6.7796610169491531</v>
      </c>
      <c r="G273" s="473" t="s">
        <v>24</v>
      </c>
      <c r="H273" s="475">
        <f>F273+F274</f>
        <v>11.370953415199152</v>
      </c>
      <c r="I273" s="2"/>
    </row>
    <row r="274" spans="1:10" x14ac:dyDescent="0.25">
      <c r="A274" s="477" t="s">
        <v>81</v>
      </c>
      <c r="B274" s="478"/>
      <c r="C274" s="11" t="s">
        <v>82</v>
      </c>
      <c r="D274" s="86">
        <f>E70</f>
        <v>0.03</v>
      </c>
      <c r="E274" s="12">
        <f>H260</f>
        <v>153.04307994166663</v>
      </c>
      <c r="F274" s="82">
        <f>D274*E274</f>
        <v>4.5912923982499985</v>
      </c>
      <c r="G274" s="474"/>
      <c r="H274" s="476"/>
      <c r="I274" s="2"/>
      <c r="J274" s="54"/>
    </row>
    <row r="275" spans="1:10" x14ac:dyDescent="0.25">
      <c r="A275" s="2"/>
      <c r="B275" s="2"/>
      <c r="C275" s="2"/>
      <c r="D275" s="2"/>
      <c r="E275" s="2"/>
      <c r="F275" s="2"/>
      <c r="G275" s="2"/>
      <c r="H275" s="2"/>
      <c r="I275" s="2"/>
    </row>
    <row r="276" spans="1:10" x14ac:dyDescent="0.25">
      <c r="A276" s="2"/>
      <c r="B276" s="2"/>
      <c r="C276" s="2"/>
      <c r="D276" s="2"/>
      <c r="E276" s="2"/>
      <c r="F276" s="2"/>
      <c r="G276" s="2"/>
      <c r="H276" s="2"/>
      <c r="I276" s="2"/>
    </row>
    <row r="277" spans="1:10" x14ac:dyDescent="0.25">
      <c r="A277" s="495" t="s">
        <v>56</v>
      </c>
      <c r="B277" s="495"/>
      <c r="C277" s="696" t="s">
        <v>472</v>
      </c>
      <c r="D277" s="696"/>
      <c r="E277" s="696"/>
      <c r="F277" s="696"/>
      <c r="G277" s="696"/>
      <c r="H277" s="151"/>
      <c r="I277" s="2"/>
    </row>
    <row r="278" spans="1:10" ht="15.75" x14ac:dyDescent="0.25">
      <c r="A278" s="2"/>
      <c r="B278" s="2"/>
      <c r="C278" s="32" t="s">
        <v>57</v>
      </c>
      <c r="D278" s="68">
        <f>C62</f>
        <v>16</v>
      </c>
      <c r="E278" s="2" t="s">
        <v>313</v>
      </c>
      <c r="F278" s="2"/>
      <c r="G278" s="2"/>
      <c r="H278" s="2"/>
      <c r="I278" s="2"/>
    </row>
    <row r="279" spans="1:10" ht="15.75" x14ac:dyDescent="0.25">
      <c r="A279" s="2"/>
      <c r="B279" s="2"/>
      <c r="C279" s="32" t="s">
        <v>58</v>
      </c>
      <c r="D279" s="76" t="s">
        <v>314</v>
      </c>
      <c r="E279" s="2"/>
      <c r="F279" s="77"/>
      <c r="G279" s="77" t="s">
        <v>59</v>
      </c>
      <c r="H279" s="78">
        <f>H282+H287+H291</f>
        <v>47.135259723670899</v>
      </c>
      <c r="I279" s="2"/>
      <c r="J279" s="79"/>
    </row>
    <row r="280" spans="1:10" x14ac:dyDescent="0.25">
      <c r="A280" s="497"/>
      <c r="B280" s="497"/>
      <c r="C280" s="26" t="s">
        <v>60</v>
      </c>
      <c r="D280" s="26" t="s">
        <v>61</v>
      </c>
      <c r="E280" s="26" t="s">
        <v>62</v>
      </c>
      <c r="F280" s="26" t="s">
        <v>63</v>
      </c>
      <c r="G280" s="497" t="s">
        <v>64</v>
      </c>
      <c r="H280" s="497"/>
      <c r="I280" s="2"/>
    </row>
    <row r="281" spans="1:10" x14ac:dyDescent="0.25">
      <c r="A281" s="470" t="s">
        <v>65</v>
      </c>
      <c r="B281" s="470"/>
      <c r="C281" s="470"/>
      <c r="D281" s="470"/>
      <c r="E281" s="470"/>
      <c r="F281" s="470"/>
      <c r="G281" s="498"/>
      <c r="H281" s="498"/>
      <c r="I281" s="2"/>
    </row>
    <row r="282" spans="1:10" x14ac:dyDescent="0.25">
      <c r="A282" s="469" t="s">
        <v>66</v>
      </c>
      <c r="B282" s="469"/>
      <c r="C282" s="11" t="s">
        <v>67</v>
      </c>
      <c r="D282" s="81">
        <f>G230</f>
        <v>6.6666666666666666E-2</v>
      </c>
      <c r="E282" s="12">
        <f>E260</f>
        <v>26.646464625</v>
      </c>
      <c r="F282" s="82">
        <f>D282*E282</f>
        <v>1.776430975</v>
      </c>
      <c r="G282" s="473" t="s">
        <v>24</v>
      </c>
      <c r="H282" s="475">
        <f>F282+F283+F284+F285</f>
        <v>30.673363891666664</v>
      </c>
      <c r="I282" s="2"/>
      <c r="J282" s="54"/>
    </row>
    <row r="283" spans="1:10" x14ac:dyDescent="0.25">
      <c r="A283" s="469" t="s">
        <v>68</v>
      </c>
      <c r="B283" s="469"/>
      <c r="C283" s="11" t="s">
        <v>67</v>
      </c>
      <c r="D283" s="81">
        <f t="shared" ref="D283:D285" si="4">G231</f>
        <v>0.66666666666666663</v>
      </c>
      <c r="E283" s="12">
        <f t="shared" ref="E283:E285" si="5">E261</f>
        <v>24.224058749999998</v>
      </c>
      <c r="F283" s="82">
        <f t="shared" ref="F283:F285" si="6">D283*E283</f>
        <v>16.149372499999998</v>
      </c>
      <c r="G283" s="519"/>
      <c r="H283" s="520"/>
      <c r="I283" s="2"/>
      <c r="J283" s="54"/>
    </row>
    <row r="284" spans="1:10" x14ac:dyDescent="0.25">
      <c r="A284" s="469" t="s">
        <v>69</v>
      </c>
      <c r="B284" s="469"/>
      <c r="C284" s="11" t="s">
        <v>67</v>
      </c>
      <c r="D284" s="81">
        <f t="shared" si="4"/>
        <v>0.66666666666666663</v>
      </c>
      <c r="E284" s="12">
        <f t="shared" si="5"/>
        <v>19.121340624999998</v>
      </c>
      <c r="F284" s="82">
        <f t="shared" si="6"/>
        <v>12.747560416666666</v>
      </c>
      <c r="G284" s="519"/>
      <c r="H284" s="520"/>
      <c r="I284" s="2"/>
      <c r="J284" s="54"/>
    </row>
    <row r="285" spans="1:10" x14ac:dyDescent="0.25">
      <c r="A285" s="469" t="s">
        <v>70</v>
      </c>
      <c r="B285" s="469"/>
      <c r="C285" s="11" t="s">
        <v>67</v>
      </c>
      <c r="D285" s="81">
        <f t="shared" si="4"/>
        <v>0</v>
      </c>
      <c r="E285" s="12">
        <f t="shared" si="5"/>
        <v>17.283906249999998</v>
      </c>
      <c r="F285" s="82">
        <f t="shared" si="6"/>
        <v>0</v>
      </c>
      <c r="G285" s="474"/>
      <c r="H285" s="476"/>
      <c r="I285" s="2"/>
      <c r="J285" s="54"/>
    </row>
    <row r="286" spans="1:10" x14ac:dyDescent="0.25">
      <c r="A286" s="470" t="s">
        <v>72</v>
      </c>
      <c r="B286" s="470"/>
      <c r="C286" s="470"/>
      <c r="D286" s="470"/>
      <c r="E286" s="470"/>
      <c r="F286" s="470"/>
      <c r="G286" s="471"/>
      <c r="H286" s="471"/>
      <c r="I286" s="2"/>
      <c r="J286" s="54"/>
    </row>
    <row r="287" spans="1:10" ht="15.75" x14ac:dyDescent="0.25">
      <c r="A287" s="469" t="s">
        <v>270</v>
      </c>
      <c r="B287" s="469"/>
      <c r="C287" s="11" t="s">
        <v>315</v>
      </c>
      <c r="D287" s="81">
        <f>F195</f>
        <v>3.35</v>
      </c>
      <c r="E287" s="12">
        <f>IF(E94="Incluido IGV",F84,IF(AND(E94="Sin IGV"),H84))</f>
        <v>3.8135593220338984</v>
      </c>
      <c r="F287" s="82">
        <f>D287*E287</f>
        <v>12.775423728813561</v>
      </c>
      <c r="G287" s="473" t="s">
        <v>24</v>
      </c>
      <c r="H287" s="475">
        <f>F287+F288+F289</f>
        <v>15.541694915254238</v>
      </c>
      <c r="I287" s="2"/>
    </row>
    <row r="288" spans="1:10" x14ac:dyDescent="0.25">
      <c r="A288" s="469" t="s">
        <v>271</v>
      </c>
      <c r="B288" s="469"/>
      <c r="C288" s="11" t="s">
        <v>169</v>
      </c>
      <c r="D288" s="81">
        <f t="shared" ref="D288:D289" si="7">F196</f>
        <v>0.16</v>
      </c>
      <c r="E288" s="12">
        <f>IF(E94="Incluido IGV",F85,IF(AND(E94="Sin IGV"),H85))</f>
        <v>6.8644067796610173</v>
      </c>
      <c r="F288" s="82">
        <f t="shared" ref="F288:F289" si="8">D288*E288</f>
        <v>1.0983050847457627</v>
      </c>
      <c r="G288" s="519"/>
      <c r="H288" s="520"/>
      <c r="I288" s="2"/>
      <c r="J288" s="54"/>
    </row>
    <row r="289" spans="1:10" x14ac:dyDescent="0.25">
      <c r="A289" s="469" t="s">
        <v>438</v>
      </c>
      <c r="B289" s="469"/>
      <c r="C289" s="11" t="s">
        <v>169</v>
      </c>
      <c r="D289" s="81">
        <f t="shared" si="7"/>
        <v>0.26</v>
      </c>
      <c r="E289" s="12">
        <f>IF(E94="Incluido IGV",F86,IF(AND(E94="Sin IGV"),H86))</f>
        <v>6.4152542372881358</v>
      </c>
      <c r="F289" s="82">
        <f t="shared" si="8"/>
        <v>1.6679661016949154</v>
      </c>
      <c r="G289" s="474"/>
      <c r="H289" s="476"/>
      <c r="I289" s="2"/>
    </row>
    <row r="290" spans="1:10" x14ac:dyDescent="0.25">
      <c r="A290" s="470" t="s">
        <v>78</v>
      </c>
      <c r="B290" s="470"/>
      <c r="C290" s="470"/>
      <c r="D290" s="470"/>
      <c r="E290" s="470"/>
      <c r="F290" s="470"/>
      <c r="G290" s="471"/>
      <c r="H290" s="471"/>
      <c r="I290" s="2"/>
    </row>
    <row r="291" spans="1:10" x14ac:dyDescent="0.25">
      <c r="A291" s="477" t="s">
        <v>81</v>
      </c>
      <c r="B291" s="478"/>
      <c r="C291" s="11" t="s">
        <v>82</v>
      </c>
      <c r="D291" s="86">
        <f>E70</f>
        <v>0.03</v>
      </c>
      <c r="E291" s="12">
        <f>H282</f>
        <v>30.673363891666664</v>
      </c>
      <c r="F291" s="82">
        <f>D291*E291</f>
        <v>0.92020091674999993</v>
      </c>
      <c r="G291" s="243" t="s">
        <v>24</v>
      </c>
      <c r="H291" s="244">
        <f>F291</f>
        <v>0.92020091674999993</v>
      </c>
      <c r="I291" s="2"/>
      <c r="J291" s="54"/>
    </row>
    <row r="292" spans="1:10" x14ac:dyDescent="0.25">
      <c r="A292" s="2"/>
      <c r="B292" s="2"/>
      <c r="C292" s="2"/>
      <c r="D292" s="2"/>
      <c r="E292" s="2"/>
      <c r="F292" s="2"/>
      <c r="G292" s="2"/>
      <c r="H292" s="2"/>
      <c r="I292" s="2"/>
    </row>
    <row r="293" spans="1:10" x14ac:dyDescent="0.25">
      <c r="A293" s="2"/>
      <c r="B293" s="2"/>
      <c r="C293" s="2"/>
      <c r="D293" s="2"/>
      <c r="E293" s="2"/>
      <c r="F293" s="2"/>
      <c r="G293" s="2"/>
      <c r="H293" s="2"/>
      <c r="I293" s="2"/>
    </row>
    <row r="294" spans="1:10" x14ac:dyDescent="0.25">
      <c r="A294" s="2"/>
      <c r="B294" s="2"/>
      <c r="C294" s="2"/>
      <c r="D294" s="2"/>
      <c r="E294" s="2"/>
      <c r="F294" s="2"/>
      <c r="G294" s="2"/>
      <c r="H294" s="2"/>
      <c r="I294" s="2"/>
    </row>
    <row r="295" spans="1:10" ht="15.75" x14ac:dyDescent="0.25">
      <c r="A295" s="641" t="s">
        <v>473</v>
      </c>
      <c r="B295" s="641"/>
      <c r="C295" s="641"/>
      <c r="D295" s="641"/>
      <c r="E295" s="641"/>
      <c r="F295" s="2"/>
      <c r="G295" s="2"/>
      <c r="H295" s="2"/>
      <c r="I295" s="2"/>
    </row>
    <row r="296" spans="1:10" ht="15.75" x14ac:dyDescent="0.25">
      <c r="A296" s="155"/>
      <c r="B296" s="155"/>
      <c r="C296" s="155"/>
      <c r="D296" s="155"/>
      <c r="E296" s="155"/>
      <c r="F296" s="2"/>
      <c r="G296" s="2"/>
      <c r="H296" s="2"/>
      <c r="I296" s="2"/>
    </row>
    <row r="297" spans="1:10" ht="15.75" x14ac:dyDescent="0.25">
      <c r="A297" s="153"/>
      <c r="B297" s="153"/>
      <c r="C297" s="153"/>
      <c r="D297" s="153"/>
      <c r="E297" s="2"/>
      <c r="F297" s="2"/>
      <c r="G297" s="2"/>
      <c r="H297" s="2"/>
      <c r="I297" s="2"/>
    </row>
    <row r="298" spans="1:10" ht="15.75" customHeight="1" x14ac:dyDescent="0.25">
      <c r="A298" s="2"/>
      <c r="B298" s="2"/>
      <c r="C298" s="455" t="s">
        <v>171</v>
      </c>
      <c r="D298" s="455"/>
      <c r="E298" s="456" t="str">
        <f>E251</f>
        <v>MAYOR A 50 UIT</v>
      </c>
      <c r="F298" s="456"/>
      <c r="G298" s="31"/>
      <c r="H298" s="31"/>
      <c r="I298" s="31"/>
      <c r="J298" s="154"/>
    </row>
    <row r="299" spans="1:10" ht="15.75" customHeight="1" x14ac:dyDescent="0.25">
      <c r="A299" s="2"/>
      <c r="B299" s="2"/>
      <c r="C299" s="455" t="s">
        <v>172</v>
      </c>
      <c r="D299" s="455"/>
      <c r="E299" s="6" t="str">
        <f>E252</f>
        <v>SIN IGV</v>
      </c>
      <c r="F299" s="25"/>
      <c r="G299" s="2"/>
      <c r="H299" s="2"/>
      <c r="I299" s="2"/>
    </row>
    <row r="300" spans="1:10" ht="15.75" customHeight="1" x14ac:dyDescent="0.25">
      <c r="A300" s="2"/>
      <c r="B300" s="2"/>
      <c r="C300" s="77"/>
      <c r="D300" s="77"/>
      <c r="E300" s="4"/>
      <c r="F300" s="2"/>
      <c r="G300" s="2"/>
      <c r="H300" s="2"/>
      <c r="I300" s="2"/>
    </row>
    <row r="301" spans="1:10" x14ac:dyDescent="0.25">
      <c r="A301" s="2"/>
      <c r="B301" s="2"/>
      <c r="C301" s="2"/>
      <c r="D301" s="2"/>
      <c r="E301" s="2"/>
      <c r="F301" s="2"/>
      <c r="G301" s="2"/>
      <c r="H301" s="2"/>
      <c r="I301" s="2"/>
    </row>
    <row r="302" spans="1:10" x14ac:dyDescent="0.25">
      <c r="A302" s="2"/>
      <c r="B302" s="500" t="s">
        <v>46</v>
      </c>
      <c r="C302" s="501"/>
      <c r="D302" s="505" t="s">
        <v>60</v>
      </c>
      <c r="E302" s="504" t="s">
        <v>83</v>
      </c>
      <c r="F302" s="504" t="s">
        <v>84</v>
      </c>
      <c r="G302" s="458" t="s">
        <v>85</v>
      </c>
      <c r="H302" s="459"/>
      <c r="I302" s="2"/>
    </row>
    <row r="303" spans="1:10" x14ac:dyDescent="0.25">
      <c r="A303" s="2"/>
      <c r="B303" s="502"/>
      <c r="C303" s="503"/>
      <c r="D303" s="506"/>
      <c r="E303" s="504"/>
      <c r="F303" s="504"/>
      <c r="G303" s="616"/>
      <c r="H303" s="617"/>
      <c r="I303" s="2"/>
    </row>
    <row r="304" spans="1:10" x14ac:dyDescent="0.25">
      <c r="A304" s="2"/>
      <c r="B304" s="676" t="str">
        <f>C220</f>
        <v>CONCRETO PARA SOBRECIMIENTOS</v>
      </c>
      <c r="C304" s="677"/>
      <c r="D304" s="460" t="s">
        <v>42</v>
      </c>
      <c r="E304" s="463">
        <f>G140</f>
        <v>2</v>
      </c>
      <c r="F304" s="466">
        <f>H257</f>
        <v>302.34759267889973</v>
      </c>
      <c r="G304" s="485" t="s">
        <v>24</v>
      </c>
      <c r="H304" s="488">
        <f>E304*F304</f>
        <v>604.69518535779946</v>
      </c>
      <c r="I304" s="2"/>
    </row>
    <row r="305" spans="1:10" x14ac:dyDescent="0.25">
      <c r="A305" s="2"/>
      <c r="B305" s="678"/>
      <c r="C305" s="679"/>
      <c r="D305" s="461"/>
      <c r="E305" s="464"/>
      <c r="F305" s="467"/>
      <c r="G305" s="486"/>
      <c r="H305" s="489"/>
      <c r="I305" s="2"/>
    </row>
    <row r="306" spans="1:10" x14ac:dyDescent="0.25">
      <c r="A306" s="2"/>
      <c r="B306" s="680" t="str">
        <f>C222</f>
        <v>1:8 + 25% PM</v>
      </c>
      <c r="C306" s="681"/>
      <c r="D306" s="462"/>
      <c r="E306" s="465"/>
      <c r="F306" s="468"/>
      <c r="G306" s="487"/>
      <c r="H306" s="490"/>
      <c r="I306" s="2"/>
    </row>
    <row r="307" spans="1:10" x14ac:dyDescent="0.25">
      <c r="A307" s="2"/>
      <c r="B307" s="687" t="str">
        <f>A62</f>
        <v>ENCOFRADO Y DESENCOF. NORMAL SOBRECIMIENTOS</v>
      </c>
      <c r="C307" s="688"/>
      <c r="D307" s="692" t="s">
        <v>314</v>
      </c>
      <c r="E307" s="463">
        <f>G141</f>
        <v>18</v>
      </c>
      <c r="F307" s="693">
        <f>H279</f>
        <v>47.135259723670899</v>
      </c>
      <c r="G307" s="485" t="s">
        <v>24</v>
      </c>
      <c r="H307" s="488">
        <f>E307*F307</f>
        <v>848.43467502607621</v>
      </c>
      <c r="I307" s="2"/>
    </row>
    <row r="308" spans="1:10" x14ac:dyDescent="0.25">
      <c r="A308" s="2"/>
      <c r="B308" s="689"/>
      <c r="C308" s="690"/>
      <c r="D308" s="461"/>
      <c r="E308" s="464"/>
      <c r="F308" s="694"/>
      <c r="G308" s="486"/>
      <c r="H308" s="489"/>
      <c r="I308" s="2"/>
    </row>
    <row r="309" spans="1:10" x14ac:dyDescent="0.25">
      <c r="A309" s="2"/>
      <c r="B309" s="680"/>
      <c r="C309" s="691"/>
      <c r="D309" s="462"/>
      <c r="E309" s="465"/>
      <c r="F309" s="695"/>
      <c r="G309" s="487"/>
      <c r="H309" s="490"/>
      <c r="I309" s="2"/>
    </row>
    <row r="310" spans="1:10" x14ac:dyDescent="0.25">
      <c r="A310" s="2"/>
      <c r="B310" s="642" t="s">
        <v>474</v>
      </c>
      <c r="C310" s="643"/>
      <c r="D310" s="643"/>
      <c r="E310" s="643"/>
      <c r="F310" s="644"/>
      <c r="G310" s="645" t="s">
        <v>24</v>
      </c>
      <c r="H310" s="620">
        <f>H304+H307</f>
        <v>1453.1298603838757</v>
      </c>
      <c r="I310" s="2"/>
    </row>
    <row r="311" spans="1:10" x14ac:dyDescent="0.25">
      <c r="A311" s="2"/>
      <c r="B311" s="87"/>
      <c r="C311" s="88" t="s">
        <v>86</v>
      </c>
      <c r="D311" s="89" t="str">
        <f>IF(E94="Incluido IGV","Costos Incluido IGV",IF(AND(E94="Sin IGV"),"Costos Sin IGV"))</f>
        <v>Costos Sin IGV</v>
      </c>
      <c r="E311" s="90"/>
      <c r="F311" s="91"/>
      <c r="G311" s="646"/>
      <c r="H311" s="621"/>
      <c r="I311" s="2"/>
    </row>
    <row r="312" spans="1:10" x14ac:dyDescent="0.25">
      <c r="A312" s="2"/>
      <c r="B312" s="2"/>
      <c r="C312" s="2"/>
      <c r="D312" s="2"/>
      <c r="E312" s="2"/>
      <c r="F312" s="2"/>
      <c r="G312" s="2"/>
      <c r="H312" s="2"/>
      <c r="I312" s="2"/>
    </row>
    <row r="313" spans="1:10" x14ac:dyDescent="0.25">
      <c r="A313" s="2"/>
      <c r="B313" s="2"/>
      <c r="C313" s="2"/>
      <c r="D313" s="2"/>
      <c r="E313" s="2"/>
      <c r="F313" s="2"/>
      <c r="G313" s="2"/>
      <c r="H313" s="2"/>
      <c r="I313" s="2"/>
    </row>
    <row r="314" spans="1:10" x14ac:dyDescent="0.25">
      <c r="A314" s="2"/>
      <c r="B314" s="2"/>
      <c r="C314" s="2"/>
      <c r="D314" s="2"/>
      <c r="E314" s="2"/>
      <c r="F314" s="2"/>
      <c r="G314" s="2"/>
      <c r="H314" s="2"/>
      <c r="I314" s="2"/>
    </row>
    <row r="315" spans="1:10" ht="15.75" x14ac:dyDescent="0.25">
      <c r="A315" s="315" t="s">
        <v>475</v>
      </c>
      <c r="B315" s="315"/>
      <c r="C315" s="315"/>
      <c r="D315" s="315"/>
      <c r="E315" s="315"/>
      <c r="F315" s="315"/>
      <c r="G315" s="316"/>
      <c r="H315" s="2"/>
      <c r="I315" s="2"/>
    </row>
    <row r="316" spans="1:10" x14ac:dyDescent="0.25">
      <c r="A316" s="2"/>
      <c r="B316" s="2"/>
      <c r="C316" s="2"/>
      <c r="D316" s="2"/>
      <c r="E316" s="2"/>
      <c r="F316" s="2"/>
      <c r="G316" s="2"/>
      <c r="H316" s="2"/>
      <c r="I316" s="2"/>
    </row>
    <row r="317" spans="1:10" ht="15.75" x14ac:dyDescent="0.25">
      <c r="A317" s="153"/>
      <c r="B317" s="153"/>
      <c r="C317" s="153"/>
      <c r="D317" s="153"/>
      <c r="E317" s="2"/>
      <c r="F317" s="2"/>
      <c r="G317" s="2"/>
      <c r="H317" s="2"/>
      <c r="I317" s="2"/>
    </row>
    <row r="318" spans="1:10" ht="15.75" customHeight="1" x14ac:dyDescent="0.25">
      <c r="A318" s="2"/>
      <c r="B318" s="2"/>
      <c r="C318" s="455" t="s">
        <v>171</v>
      </c>
      <c r="D318" s="455"/>
      <c r="E318" s="456" t="str">
        <f>E298</f>
        <v>MAYOR A 50 UIT</v>
      </c>
      <c r="F318" s="456"/>
      <c r="G318" s="31"/>
      <c r="H318" s="31"/>
      <c r="I318" s="31"/>
      <c r="J318" s="154"/>
    </row>
    <row r="319" spans="1:10" ht="15.75" customHeight="1" x14ac:dyDescent="0.25">
      <c r="A319" s="2"/>
      <c r="B319" s="2"/>
      <c r="C319" s="455" t="s">
        <v>172</v>
      </c>
      <c r="D319" s="455"/>
      <c r="E319" s="6" t="str">
        <f>E299</f>
        <v>SIN IGV</v>
      </c>
      <c r="F319" s="25"/>
      <c r="G319" s="2"/>
      <c r="H319" s="2"/>
      <c r="I319" s="2"/>
    </row>
    <row r="320" spans="1:10" ht="15.75" customHeight="1" x14ac:dyDescent="0.25">
      <c r="A320" s="2"/>
      <c r="B320" s="2"/>
      <c r="C320" s="77"/>
      <c r="D320" s="77"/>
      <c r="E320" s="4"/>
      <c r="F320" s="2"/>
      <c r="G320" s="2"/>
      <c r="H320" s="2"/>
      <c r="I320" s="2"/>
    </row>
    <row r="321" spans="1:9" x14ac:dyDescent="0.25">
      <c r="A321" s="2"/>
      <c r="B321" s="2"/>
      <c r="C321" s="2"/>
      <c r="D321" s="2"/>
      <c r="E321" s="2"/>
      <c r="F321" s="2"/>
      <c r="G321" s="2"/>
      <c r="H321" s="2"/>
      <c r="I321" s="2"/>
    </row>
    <row r="322" spans="1:9" ht="15" customHeight="1" x14ac:dyDescent="0.25">
      <c r="A322" s="2"/>
      <c r="B322" s="2"/>
      <c r="C322" s="448" t="s">
        <v>72</v>
      </c>
      <c r="D322" s="457"/>
      <c r="E322" s="458" t="s">
        <v>87</v>
      </c>
      <c r="F322" s="459"/>
      <c r="G322" s="2"/>
      <c r="H322" s="2"/>
      <c r="I322" s="2"/>
    </row>
    <row r="323" spans="1:9" x14ac:dyDescent="0.25">
      <c r="A323" s="2"/>
      <c r="B323" s="2"/>
      <c r="C323" s="446" t="s">
        <v>39</v>
      </c>
      <c r="D323" s="447"/>
      <c r="E323" s="92">
        <f>E185</f>
        <v>7.7700000000000005</v>
      </c>
      <c r="F323" s="93" t="s">
        <v>35</v>
      </c>
      <c r="G323" s="2"/>
      <c r="H323" s="2"/>
      <c r="I323" s="2"/>
    </row>
    <row r="324" spans="1:9" ht="15.75" x14ac:dyDescent="0.25">
      <c r="A324" s="2"/>
      <c r="B324" s="2"/>
      <c r="C324" s="446" t="s">
        <v>40</v>
      </c>
      <c r="D324" s="447"/>
      <c r="E324" s="92">
        <f>E186</f>
        <v>1.7849999999999999</v>
      </c>
      <c r="F324" s="93" t="s">
        <v>88</v>
      </c>
      <c r="G324" s="2"/>
      <c r="H324" s="2"/>
      <c r="I324" s="2"/>
    </row>
    <row r="325" spans="1:9" ht="15.75" x14ac:dyDescent="0.25">
      <c r="A325" s="2"/>
      <c r="B325" s="2"/>
      <c r="C325" s="447" t="s">
        <v>476</v>
      </c>
      <c r="D325" s="530"/>
      <c r="E325" s="92">
        <f>E187</f>
        <v>0.88200000000000001</v>
      </c>
      <c r="F325" s="93" t="s">
        <v>88</v>
      </c>
      <c r="G325" s="2"/>
      <c r="H325" s="2"/>
      <c r="I325" s="2"/>
    </row>
    <row r="326" spans="1:9" ht="15.75" x14ac:dyDescent="0.25">
      <c r="A326" s="2"/>
      <c r="B326" s="2"/>
      <c r="C326" s="446" t="s">
        <v>89</v>
      </c>
      <c r="D326" s="447"/>
      <c r="E326" s="94">
        <f>E188</f>
        <v>0.27300000000000002</v>
      </c>
      <c r="F326" s="95" t="s">
        <v>88</v>
      </c>
      <c r="G326" s="2"/>
      <c r="H326" s="2"/>
      <c r="I326" s="2"/>
    </row>
    <row r="327" spans="1:9" x14ac:dyDescent="0.25">
      <c r="A327" s="2"/>
      <c r="B327" s="2"/>
      <c r="C327" s="447" t="str">
        <f>IF(G41="NO","Gasolina de 84 octanos",IF(AND(G41="SI"),"-"))</f>
        <v>Gasolina de 84 octanos</v>
      </c>
      <c r="D327" s="530"/>
      <c r="E327" s="92">
        <f>IF(G41="NO",E38*F154,IF(AND(G41="SI"),"-"))</f>
        <v>0.504</v>
      </c>
      <c r="F327" s="95" t="str">
        <f>IF(G41="NO","galones",IF(AND(G41="SI"),"-"))</f>
        <v>galones</v>
      </c>
      <c r="G327" s="2"/>
      <c r="H327" s="60"/>
      <c r="I327" s="2"/>
    </row>
    <row r="328" spans="1:9" x14ac:dyDescent="0.25">
      <c r="A328" s="2"/>
      <c r="B328" s="2"/>
      <c r="C328" s="447" t="str">
        <f>IF(G42="NO","Grasa multipropósitos",IF(AND(G42="SI"),"-"))</f>
        <v>Grasa multipropósitos</v>
      </c>
      <c r="D328" s="530"/>
      <c r="E328" s="92">
        <f>IF(G42="NO",E39*F154,IF(AND(G42="SI"),"-"))</f>
        <v>1.6800000000000002E-2</v>
      </c>
      <c r="F328" s="95" t="str">
        <f>IF(G42="NO","kg",IF(AND(G42="SI"),"-"))</f>
        <v>kg</v>
      </c>
      <c r="G328" s="2"/>
      <c r="H328" s="60"/>
      <c r="I328" s="2"/>
    </row>
    <row r="329" spans="1:9" x14ac:dyDescent="0.25">
      <c r="A329" s="2"/>
      <c r="B329" s="2"/>
      <c r="C329" s="305" t="s">
        <v>477</v>
      </c>
      <c r="D329" s="317"/>
      <c r="E329" s="92">
        <f>F202</f>
        <v>63.315000000000005</v>
      </c>
      <c r="F329" s="95" t="s">
        <v>478</v>
      </c>
      <c r="G329" s="2"/>
      <c r="H329" s="60"/>
      <c r="I329" s="2"/>
    </row>
    <row r="330" spans="1:9" x14ac:dyDescent="0.25">
      <c r="A330" s="2"/>
      <c r="B330" s="2"/>
      <c r="C330" s="305" t="s">
        <v>240</v>
      </c>
      <c r="D330" s="317"/>
      <c r="E330" s="92">
        <f t="shared" ref="E330:E331" si="9">F203</f>
        <v>3.024</v>
      </c>
      <c r="F330" s="95" t="s">
        <v>169</v>
      </c>
      <c r="G330" s="2"/>
      <c r="H330" s="60"/>
      <c r="I330" s="2"/>
    </row>
    <row r="331" spans="1:9" x14ac:dyDescent="0.25">
      <c r="A331" s="2"/>
      <c r="B331" s="2"/>
      <c r="C331" s="305" t="s">
        <v>418</v>
      </c>
      <c r="D331" s="317"/>
      <c r="E331" s="92">
        <f t="shared" si="9"/>
        <v>4.9139999999999997</v>
      </c>
      <c r="F331" s="95" t="s">
        <v>169</v>
      </c>
      <c r="G331" s="2"/>
      <c r="H331" s="60"/>
      <c r="I331" s="2"/>
    </row>
    <row r="332" spans="1:9" x14ac:dyDescent="0.25">
      <c r="A332" s="2"/>
      <c r="B332" s="2"/>
      <c r="C332" s="448" t="s">
        <v>65</v>
      </c>
      <c r="D332" s="449"/>
      <c r="E332" s="450" t="s">
        <v>87</v>
      </c>
      <c r="F332" s="451"/>
      <c r="G332" s="2"/>
      <c r="H332" s="2"/>
      <c r="I332" s="2"/>
    </row>
    <row r="333" spans="1:9" x14ac:dyDescent="0.25">
      <c r="A333" s="2"/>
      <c r="B333" s="2"/>
      <c r="C333" s="446" t="s">
        <v>11</v>
      </c>
      <c r="D333" s="447"/>
      <c r="E333" s="156">
        <f>G219*E304+G230*E307</f>
        <v>1.3333333333333333</v>
      </c>
      <c r="F333" s="157" t="s">
        <v>177</v>
      </c>
      <c r="G333" s="2"/>
      <c r="H333" s="96"/>
      <c r="I333" s="2"/>
    </row>
    <row r="334" spans="1:9" x14ac:dyDescent="0.25">
      <c r="A334" s="2"/>
      <c r="B334" s="2"/>
      <c r="C334" s="446" t="s">
        <v>12</v>
      </c>
      <c r="D334" s="447"/>
      <c r="E334" s="156">
        <f>G220*E304+G231*E307</f>
        <v>13.333333333333334</v>
      </c>
      <c r="F334" s="157" t="s">
        <v>177</v>
      </c>
      <c r="G334" s="2"/>
      <c r="H334" s="97"/>
      <c r="I334" s="2"/>
    </row>
    <row r="335" spans="1:9" x14ac:dyDescent="0.25">
      <c r="A335" s="2"/>
      <c r="B335" s="2"/>
      <c r="C335" s="446" t="s">
        <v>13</v>
      </c>
      <c r="D335" s="447"/>
      <c r="E335" s="156">
        <f>G221*E304+G232*E307</f>
        <v>14.666666666666666</v>
      </c>
      <c r="F335" s="157" t="s">
        <v>177</v>
      </c>
      <c r="G335" s="2"/>
      <c r="H335" s="97"/>
      <c r="I335" s="2"/>
    </row>
    <row r="336" spans="1:9" x14ac:dyDescent="0.25">
      <c r="A336" s="2"/>
      <c r="B336" s="2"/>
      <c r="C336" s="446" t="s">
        <v>14</v>
      </c>
      <c r="D336" s="447"/>
      <c r="E336" s="156">
        <f>G222*E304+G233*E307</f>
        <v>10.666666666666666</v>
      </c>
      <c r="F336" s="157" t="s">
        <v>177</v>
      </c>
      <c r="G336" s="2"/>
      <c r="H336" s="57"/>
      <c r="I336" s="2"/>
    </row>
    <row r="337" spans="1:9" x14ac:dyDescent="0.25">
      <c r="A337" s="2"/>
      <c r="B337" s="2"/>
      <c r="C337" s="446" t="s">
        <v>90</v>
      </c>
      <c r="D337" s="447"/>
      <c r="E337" s="156">
        <f>G223*E304</f>
        <v>1.3333333333333333</v>
      </c>
      <c r="F337" s="157" t="s">
        <v>177</v>
      </c>
      <c r="G337" s="2"/>
      <c r="H337" s="2"/>
      <c r="I337" s="2"/>
    </row>
    <row r="338" spans="1:9" x14ac:dyDescent="0.25">
      <c r="A338" s="2"/>
      <c r="B338" s="2"/>
      <c r="C338" s="448" t="s">
        <v>91</v>
      </c>
      <c r="D338" s="449"/>
      <c r="E338" s="450" t="s">
        <v>87</v>
      </c>
      <c r="F338" s="451"/>
      <c r="G338" s="2"/>
      <c r="H338" s="2"/>
      <c r="I338" s="2"/>
    </row>
    <row r="339" spans="1:9" x14ac:dyDescent="0.25">
      <c r="A339" s="2"/>
      <c r="B339" s="2"/>
      <c r="C339" s="452" t="s">
        <v>92</v>
      </c>
      <c r="D339" s="534"/>
      <c r="E339" s="156">
        <f>G243*E304</f>
        <v>1.3333333333333333</v>
      </c>
      <c r="F339" s="157" t="s">
        <v>178</v>
      </c>
      <c r="G339" s="2"/>
      <c r="H339" s="2"/>
      <c r="I339" s="2"/>
    </row>
    <row r="340" spans="1:9" x14ac:dyDescent="0.25">
      <c r="A340" s="2"/>
      <c r="B340" s="2"/>
      <c r="C340" s="2"/>
      <c r="D340" s="2"/>
      <c r="E340" s="2"/>
      <c r="F340" s="2"/>
      <c r="G340" s="2"/>
      <c r="H340" s="2"/>
      <c r="I340" s="2"/>
    </row>
  </sheetData>
  <mergeCells count="205">
    <mergeCell ref="H23:H24"/>
    <mergeCell ref="G29:H30"/>
    <mergeCell ref="B32:B34"/>
    <mergeCell ref="G37:H40"/>
    <mergeCell ref="H41:I42"/>
    <mergeCell ref="H49:H51"/>
    <mergeCell ref="B1:G2"/>
    <mergeCell ref="A15:C15"/>
    <mergeCell ref="E16:H16"/>
    <mergeCell ref="B22:B29"/>
    <mergeCell ref="C22:C24"/>
    <mergeCell ref="D22:D24"/>
    <mergeCell ref="E22:H22"/>
    <mergeCell ref="E23:E24"/>
    <mergeCell ref="F23:F24"/>
    <mergeCell ref="G23:G24"/>
    <mergeCell ref="A56:H56"/>
    <mergeCell ref="A57:B58"/>
    <mergeCell ref="C57:D58"/>
    <mergeCell ref="E57:I57"/>
    <mergeCell ref="A59:B60"/>
    <mergeCell ref="C59:C61"/>
    <mergeCell ref="D59:D61"/>
    <mergeCell ref="E59:E61"/>
    <mergeCell ref="F59:F61"/>
    <mergeCell ref="G59:G61"/>
    <mergeCell ref="I62:I64"/>
    <mergeCell ref="D73:G73"/>
    <mergeCell ref="B77:C77"/>
    <mergeCell ref="E77:F77"/>
    <mergeCell ref="G77:H77"/>
    <mergeCell ref="B78:C78"/>
    <mergeCell ref="H59:H61"/>
    <mergeCell ref="I59:I61"/>
    <mergeCell ref="A61:B61"/>
    <mergeCell ref="A62:B64"/>
    <mergeCell ref="C62:C64"/>
    <mergeCell ref="D62:D64"/>
    <mergeCell ref="E62:E64"/>
    <mergeCell ref="F62:F64"/>
    <mergeCell ref="G62:G64"/>
    <mergeCell ref="H62:H64"/>
    <mergeCell ref="B85:C85"/>
    <mergeCell ref="B86:C86"/>
    <mergeCell ref="B90:C90"/>
    <mergeCell ref="E90:F90"/>
    <mergeCell ref="G90:H90"/>
    <mergeCell ref="B91:C91"/>
    <mergeCell ref="B79:C79"/>
    <mergeCell ref="B80:C80"/>
    <mergeCell ref="B81:C81"/>
    <mergeCell ref="B82:C82"/>
    <mergeCell ref="B83:C83"/>
    <mergeCell ref="B84:C84"/>
    <mergeCell ref="B104:D104"/>
    <mergeCell ref="B108:C108"/>
    <mergeCell ref="B109:C109"/>
    <mergeCell ref="B110:D110"/>
    <mergeCell ref="B111:D111"/>
    <mergeCell ref="B112:D112"/>
    <mergeCell ref="B94:D94"/>
    <mergeCell ref="F94:G95"/>
    <mergeCell ref="B100:G100"/>
    <mergeCell ref="B101:G101"/>
    <mergeCell ref="B102:D102"/>
    <mergeCell ref="B103:D103"/>
    <mergeCell ref="B128:C128"/>
    <mergeCell ref="E128:F129"/>
    <mergeCell ref="G134:H136"/>
    <mergeCell ref="A139:C139"/>
    <mergeCell ref="A146:C146"/>
    <mergeCell ref="A148:G148"/>
    <mergeCell ref="B113:D113"/>
    <mergeCell ref="B114:D114"/>
    <mergeCell ref="B116:G116"/>
    <mergeCell ref="B122:D122"/>
    <mergeCell ref="B123:D123"/>
    <mergeCell ref="B124:G124"/>
    <mergeCell ref="D201:E201"/>
    <mergeCell ref="A209:C209"/>
    <mergeCell ref="D213:E213"/>
    <mergeCell ref="C216:D216"/>
    <mergeCell ref="C217:D218"/>
    <mergeCell ref="E217:E218"/>
    <mergeCell ref="B154:E154"/>
    <mergeCell ref="F160:H160"/>
    <mergeCell ref="B162:D162"/>
    <mergeCell ref="A183:H183"/>
    <mergeCell ref="C194:G194"/>
    <mergeCell ref="B200:H200"/>
    <mergeCell ref="C230:D233"/>
    <mergeCell ref="A237:D237"/>
    <mergeCell ref="C240:D240"/>
    <mergeCell ref="C241:D242"/>
    <mergeCell ref="E241:E242"/>
    <mergeCell ref="F241:F242"/>
    <mergeCell ref="F217:F218"/>
    <mergeCell ref="G217:G218"/>
    <mergeCell ref="C220:D221"/>
    <mergeCell ref="C222:D222"/>
    <mergeCell ref="C227:D227"/>
    <mergeCell ref="C228:D229"/>
    <mergeCell ref="E228:E229"/>
    <mergeCell ref="F228:F229"/>
    <mergeCell ref="G228:G229"/>
    <mergeCell ref="C251:D251"/>
    <mergeCell ref="E251:F251"/>
    <mergeCell ref="C252:D252"/>
    <mergeCell ref="A255:B255"/>
    <mergeCell ref="C255:E255"/>
    <mergeCell ref="A258:B258"/>
    <mergeCell ref="G241:G242"/>
    <mergeCell ref="C243:D244"/>
    <mergeCell ref="E243:E244"/>
    <mergeCell ref="F243:F244"/>
    <mergeCell ref="G243:G244"/>
    <mergeCell ref="A248:D248"/>
    <mergeCell ref="G258:H258"/>
    <mergeCell ref="A259:H259"/>
    <mergeCell ref="A260:B260"/>
    <mergeCell ref="G260:G264"/>
    <mergeCell ref="H260:H264"/>
    <mergeCell ref="A261:B261"/>
    <mergeCell ref="A262:B262"/>
    <mergeCell ref="A263:B263"/>
    <mergeCell ref="A264:B264"/>
    <mergeCell ref="A272:H272"/>
    <mergeCell ref="A273:B273"/>
    <mergeCell ref="G273:G274"/>
    <mergeCell ref="H273:H274"/>
    <mergeCell ref="A274:B274"/>
    <mergeCell ref="A277:B277"/>
    <mergeCell ref="C277:G277"/>
    <mergeCell ref="A265:H265"/>
    <mergeCell ref="A266:B266"/>
    <mergeCell ref="G266:G271"/>
    <mergeCell ref="H266:H271"/>
    <mergeCell ref="A267:B267"/>
    <mergeCell ref="A268:B268"/>
    <mergeCell ref="A269:B269"/>
    <mergeCell ref="A270:B270"/>
    <mergeCell ref="A271:B271"/>
    <mergeCell ref="A280:B280"/>
    <mergeCell ref="G280:H280"/>
    <mergeCell ref="A281:H281"/>
    <mergeCell ref="A282:B282"/>
    <mergeCell ref="G282:G285"/>
    <mergeCell ref="H282:H285"/>
    <mergeCell ref="A283:B283"/>
    <mergeCell ref="A284:B284"/>
    <mergeCell ref="A285:B285"/>
    <mergeCell ref="A290:H290"/>
    <mergeCell ref="A291:B291"/>
    <mergeCell ref="A295:E295"/>
    <mergeCell ref="C298:D298"/>
    <mergeCell ref="E298:F298"/>
    <mergeCell ref="C299:D299"/>
    <mergeCell ref="A286:H286"/>
    <mergeCell ref="A287:B287"/>
    <mergeCell ref="G287:G289"/>
    <mergeCell ref="H287:H289"/>
    <mergeCell ref="A288:B288"/>
    <mergeCell ref="A289:B289"/>
    <mergeCell ref="H304:H306"/>
    <mergeCell ref="B306:C306"/>
    <mergeCell ref="B307:C309"/>
    <mergeCell ref="D307:D309"/>
    <mergeCell ref="E307:E309"/>
    <mergeCell ref="F307:F309"/>
    <mergeCell ref="G307:G309"/>
    <mergeCell ref="H307:H309"/>
    <mergeCell ref="B302:C303"/>
    <mergeCell ref="D302:D303"/>
    <mergeCell ref="E302:E303"/>
    <mergeCell ref="F302:F303"/>
    <mergeCell ref="G302:H303"/>
    <mergeCell ref="B304:C305"/>
    <mergeCell ref="D304:D306"/>
    <mergeCell ref="E304:E306"/>
    <mergeCell ref="F304:F306"/>
    <mergeCell ref="G304:G306"/>
    <mergeCell ref="C322:D322"/>
    <mergeCell ref="E322:F322"/>
    <mergeCell ref="C323:D323"/>
    <mergeCell ref="C324:D324"/>
    <mergeCell ref="C325:D325"/>
    <mergeCell ref="C326:D326"/>
    <mergeCell ref="B310:F310"/>
    <mergeCell ref="G310:G311"/>
    <mergeCell ref="H310:H311"/>
    <mergeCell ref="C318:D318"/>
    <mergeCell ref="E318:F318"/>
    <mergeCell ref="C319:D319"/>
    <mergeCell ref="C335:D335"/>
    <mergeCell ref="C336:D336"/>
    <mergeCell ref="C337:D337"/>
    <mergeCell ref="C338:D338"/>
    <mergeCell ref="E338:F338"/>
    <mergeCell ref="C339:D339"/>
    <mergeCell ref="C327:D327"/>
    <mergeCell ref="C328:D328"/>
    <mergeCell ref="C332:D332"/>
    <mergeCell ref="E332:F332"/>
    <mergeCell ref="C333:D333"/>
    <mergeCell ref="C334:D334"/>
  </mergeCells>
  <dataValidations count="5">
    <dataValidation type="list" allowBlank="1" showInputMessage="1" showErrorMessage="1" sqref="F29" xr:uid="{00000000-0002-0000-0200-000000000000}">
      <formula1>$C$25:$C$26</formula1>
    </dataValidation>
    <dataValidation type="list" allowBlank="1" showInputMessage="1" showErrorMessage="1" sqref="E94" xr:uid="{00000000-0002-0000-0200-000001000000}">
      <formula1>$A$77:$A$78</formula1>
    </dataValidation>
    <dataValidation type="list" allowBlank="1" showInputMessage="1" showErrorMessage="1" sqref="D128" xr:uid="{00000000-0002-0000-0200-000002000000}">
      <formula1>$A$128:$A$129</formula1>
    </dataValidation>
    <dataValidation type="list" allowBlank="1" showInputMessage="1" showErrorMessage="1" sqref="G41:G42" xr:uid="{00000000-0002-0000-0200-000003000000}">
      <formula1>$B$38:$B$39</formula1>
    </dataValidation>
    <dataValidation type="list" allowBlank="1" showInputMessage="1" showErrorMessage="1" sqref="G43" xr:uid="{00000000-0002-0000-0200-000004000000}">
      <formula1>$B$56:$B$57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Q346"/>
  <sheetViews>
    <sheetView workbookViewId="0">
      <selection activeCell="J19" sqref="J19"/>
    </sheetView>
  </sheetViews>
  <sheetFormatPr baseColWidth="10" defaultRowHeight="15" x14ac:dyDescent="0.25"/>
  <cols>
    <col min="1" max="1" width="9.42578125" customWidth="1"/>
    <col min="2" max="3" width="11.42578125" customWidth="1"/>
    <col min="4" max="4" width="12.42578125" customWidth="1"/>
    <col min="5" max="5" width="11.85546875" bestFit="1" customWidth="1"/>
    <col min="6" max="6" width="13.42578125" customWidth="1"/>
    <col min="7" max="7" width="12.42578125" customWidth="1"/>
    <col min="8" max="8" width="10.28515625" customWidth="1"/>
  </cols>
  <sheetData>
    <row r="1" spans="1:9" ht="15" customHeight="1" x14ac:dyDescent="0.25">
      <c r="A1" s="1"/>
      <c r="B1" s="751" t="s">
        <v>479</v>
      </c>
      <c r="C1" s="752"/>
      <c r="D1" s="752"/>
      <c r="E1" s="752"/>
      <c r="F1" s="752"/>
      <c r="G1" s="753"/>
      <c r="H1" s="2"/>
      <c r="I1" s="2"/>
    </row>
    <row r="2" spans="1:9" ht="15" customHeight="1" thickBot="1" x14ac:dyDescent="0.3">
      <c r="A2" s="3"/>
      <c r="B2" s="754"/>
      <c r="C2" s="755"/>
      <c r="D2" s="755"/>
      <c r="E2" s="755"/>
      <c r="F2" s="755"/>
      <c r="G2" s="756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x14ac:dyDescent="0.25">
      <c r="A12" s="2"/>
      <c r="B12" s="2"/>
      <c r="C12" s="2"/>
      <c r="D12" s="2"/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15.75" x14ac:dyDescent="0.25">
      <c r="A14" s="757" t="s">
        <v>480</v>
      </c>
      <c r="B14" s="757"/>
      <c r="C14" s="757"/>
      <c r="D14" s="757"/>
      <c r="E14" s="757"/>
      <c r="F14" s="2"/>
      <c r="G14" s="2"/>
      <c r="H14" s="2"/>
      <c r="I14" s="2"/>
    </row>
    <row r="15" spans="1:9" ht="15.75" x14ac:dyDescent="0.25">
      <c r="A15" s="5" t="s">
        <v>481</v>
      </c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5" t="s">
        <v>482</v>
      </c>
      <c r="B31" s="2"/>
      <c r="C31" s="2"/>
      <c r="D31" s="2"/>
      <c r="E31" s="2"/>
      <c r="F31" s="2"/>
      <c r="G31" s="2"/>
      <c r="H31" s="2"/>
      <c r="I31" s="2"/>
    </row>
    <row r="32" spans="1:9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5" t="s">
        <v>483</v>
      </c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6" t="s">
        <v>484</v>
      </c>
      <c r="B48" s="2"/>
      <c r="C48" s="2"/>
      <c r="D48" s="2"/>
      <c r="E48" s="2"/>
      <c r="F48" s="2"/>
      <c r="G48" s="2"/>
      <c r="H48" s="2"/>
      <c r="I48" s="2"/>
    </row>
    <row r="49" spans="1:9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5">
      <c r="A52" s="6" t="s">
        <v>485</v>
      </c>
      <c r="B52" s="2"/>
      <c r="C52" s="2"/>
      <c r="D52" s="2"/>
      <c r="E52" s="2"/>
      <c r="F52" s="2"/>
      <c r="G52" s="2"/>
      <c r="H52" s="2"/>
      <c r="I52" s="2"/>
    </row>
    <row r="53" spans="1:9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318" t="s">
        <v>486</v>
      </c>
      <c r="B60" s="318"/>
      <c r="C60" s="318"/>
      <c r="D60" s="22"/>
      <c r="E60" s="167" t="s">
        <v>323</v>
      </c>
      <c r="F60" s="2"/>
      <c r="G60" s="2"/>
      <c r="H60" s="2"/>
      <c r="I60" s="2"/>
    </row>
    <row r="61" spans="1:9" x14ac:dyDescent="0.25">
      <c r="A61" s="319"/>
      <c r="B61" s="319"/>
      <c r="C61" s="2"/>
      <c r="D61" s="4"/>
      <c r="E61" s="2"/>
      <c r="F61" s="2"/>
      <c r="G61" s="2"/>
      <c r="H61" s="2"/>
      <c r="I61" s="2"/>
    </row>
    <row r="62" spans="1:9" ht="15.75" x14ac:dyDescent="0.25">
      <c r="A62" s="320" t="s">
        <v>487</v>
      </c>
      <c r="C62" s="6"/>
      <c r="D62" s="2"/>
      <c r="E62" s="162"/>
      <c r="F62" s="2"/>
      <c r="G62" s="2"/>
      <c r="H62" s="2"/>
      <c r="I62" s="2"/>
    </row>
    <row r="63" spans="1:9" x14ac:dyDescent="0.25">
      <c r="A63" s="2"/>
      <c r="B63" s="2"/>
      <c r="C63" s="6" t="s">
        <v>488</v>
      </c>
      <c r="H63" s="2"/>
      <c r="I63" s="2"/>
    </row>
    <row r="64" spans="1:9" x14ac:dyDescent="0.25">
      <c r="A64" s="2"/>
      <c r="B64" s="2"/>
      <c r="C64" s="2"/>
      <c r="D64" s="26" t="s">
        <v>489</v>
      </c>
      <c r="E64" s="26" t="s">
        <v>490</v>
      </c>
      <c r="F64" s="26" t="s">
        <v>491</v>
      </c>
      <c r="G64" s="26" t="s">
        <v>492</v>
      </c>
      <c r="H64" s="2"/>
      <c r="I64" s="2"/>
    </row>
    <row r="65" spans="1:9" x14ac:dyDescent="0.25">
      <c r="A65" s="2"/>
      <c r="B65" s="2"/>
      <c r="C65" s="2"/>
      <c r="D65" s="321" t="s">
        <v>493</v>
      </c>
      <c r="E65" s="322">
        <v>24</v>
      </c>
      <c r="F65" s="322">
        <v>13</v>
      </c>
      <c r="G65" s="322">
        <v>9</v>
      </c>
      <c r="H65" s="2"/>
      <c r="I65" s="2"/>
    </row>
    <row r="66" spans="1:9" x14ac:dyDescent="0.25">
      <c r="A66" s="2"/>
      <c r="B66" s="2"/>
      <c r="C66" s="2"/>
      <c r="D66" s="321" t="s">
        <v>494</v>
      </c>
      <c r="E66" s="322">
        <v>23</v>
      </c>
      <c r="F66" s="322">
        <v>12</v>
      </c>
      <c r="G66" s="322">
        <v>10</v>
      </c>
      <c r="H66" s="2"/>
      <c r="I66" s="2"/>
    </row>
    <row r="67" spans="1:9" x14ac:dyDescent="0.25">
      <c r="A67" s="2"/>
      <c r="B67" s="2"/>
      <c r="C67" s="2"/>
      <c r="D67" s="321" t="s">
        <v>495</v>
      </c>
      <c r="E67" s="322">
        <v>22</v>
      </c>
      <c r="F67" s="322">
        <v>12.5</v>
      </c>
      <c r="G67" s="322">
        <v>7.5</v>
      </c>
      <c r="H67" s="2"/>
      <c r="I67" s="2"/>
    </row>
    <row r="68" spans="1:9" x14ac:dyDescent="0.25">
      <c r="A68" s="2"/>
      <c r="B68" s="2"/>
      <c r="C68" s="2"/>
      <c r="D68" s="2"/>
      <c r="E68" s="13"/>
      <c r="F68" s="13"/>
      <c r="G68" s="13"/>
      <c r="H68" s="2"/>
      <c r="I68" s="2"/>
    </row>
    <row r="69" spans="1:9" x14ac:dyDescent="0.25">
      <c r="A69" s="2"/>
      <c r="B69" s="545" t="s">
        <v>496</v>
      </c>
      <c r="C69" s="6" t="s">
        <v>497</v>
      </c>
      <c r="D69" s="17" t="s">
        <v>493</v>
      </c>
      <c r="E69" s="108" t="s">
        <v>498</v>
      </c>
      <c r="F69" s="2"/>
      <c r="G69" s="2"/>
      <c r="H69" s="2"/>
      <c r="I69" s="2"/>
    </row>
    <row r="70" spans="1:9" x14ac:dyDescent="0.25">
      <c r="A70" s="2"/>
      <c r="B70" s="545"/>
      <c r="C70" s="2"/>
      <c r="D70" s="2"/>
      <c r="E70" s="2"/>
      <c r="F70" s="2"/>
      <c r="G70" s="2"/>
      <c r="H70" s="2"/>
      <c r="I70" s="2"/>
    </row>
    <row r="71" spans="1:9" x14ac:dyDescent="0.25">
      <c r="A71" s="2"/>
      <c r="B71" s="2"/>
      <c r="C71" s="323">
        <f>IF(D69=D67,F67,IF(AND(D69=D66),F66,IF(AND(D69=D65),F65)))</f>
        <v>13</v>
      </c>
      <c r="D71" s="2"/>
      <c r="E71" s="2"/>
      <c r="F71" s="104">
        <f>IF(D69=D67,G67,IF(AND(D69=D66),G66,IF(AND(D69=D65),G65)))</f>
        <v>9</v>
      </c>
      <c r="G71" s="2"/>
      <c r="H71" s="2"/>
      <c r="I71" s="2"/>
    </row>
    <row r="72" spans="1:9" x14ac:dyDescent="0.25">
      <c r="A72" s="2"/>
      <c r="B72" s="2"/>
      <c r="C72" s="2"/>
      <c r="D72" s="2"/>
      <c r="E72" s="2"/>
      <c r="F72" s="34"/>
      <c r="G72" s="2"/>
      <c r="H72" s="2"/>
      <c r="I72" s="2"/>
    </row>
    <row r="73" spans="1:9" x14ac:dyDescent="0.25">
      <c r="A73" s="2"/>
      <c r="B73" s="2"/>
      <c r="C73" s="2"/>
      <c r="D73" s="2"/>
      <c r="E73" s="323">
        <f>IF(D69=D67,E67,IF(AND(D69=D66),E66,IF(AND(D69=D65),E65)))</f>
        <v>24</v>
      </c>
      <c r="F73" s="2"/>
      <c r="G73" s="2"/>
      <c r="H73" s="2"/>
      <c r="I73" s="2"/>
    </row>
    <row r="74" spans="1:9" x14ac:dyDescent="0.25">
      <c r="A74" s="2"/>
      <c r="B74" s="2"/>
      <c r="C74" s="2"/>
      <c r="D74" s="2"/>
      <c r="E74" s="2"/>
      <c r="F74" s="2"/>
      <c r="G74" s="2"/>
      <c r="I74" s="2"/>
    </row>
    <row r="75" spans="1:9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5">
      <c r="A76" s="2"/>
      <c r="B76" s="2"/>
      <c r="C76" s="31"/>
      <c r="D76" s="26" t="s">
        <v>499</v>
      </c>
      <c r="E76" s="110" t="s">
        <v>500</v>
      </c>
      <c r="F76" s="110" t="s">
        <v>501</v>
      </c>
      <c r="G76" s="110" t="s">
        <v>502</v>
      </c>
      <c r="H76" s="2"/>
      <c r="I76" s="2"/>
    </row>
    <row r="77" spans="1:9" x14ac:dyDescent="0.25">
      <c r="A77" s="2"/>
      <c r="B77" s="2"/>
      <c r="C77" s="545" t="s">
        <v>503</v>
      </c>
      <c r="D77" s="68"/>
      <c r="E77" s="68"/>
      <c r="F77" s="68"/>
      <c r="G77" s="68"/>
      <c r="H77" s="2"/>
      <c r="I77" s="2"/>
    </row>
    <row r="78" spans="1:9" x14ac:dyDescent="0.25">
      <c r="A78" s="2"/>
      <c r="B78" s="2"/>
      <c r="C78" s="545"/>
      <c r="D78" s="324" t="s">
        <v>500</v>
      </c>
      <c r="E78" s="211" t="s">
        <v>504</v>
      </c>
      <c r="I78" s="2"/>
    </row>
    <row r="79" spans="1:9" x14ac:dyDescent="0.25">
      <c r="A79" s="2"/>
      <c r="B79" s="2"/>
      <c r="C79" s="18"/>
      <c r="D79" s="19"/>
      <c r="E79" s="27"/>
      <c r="F79" s="2"/>
      <c r="G79" s="2"/>
      <c r="H79" s="2"/>
      <c r="I79" s="2"/>
    </row>
    <row r="80" spans="1:9" x14ac:dyDescent="0.25">
      <c r="A80" s="2"/>
      <c r="B80" s="2"/>
      <c r="C80" s="31"/>
      <c r="D80" s="13"/>
      <c r="E80" s="14"/>
      <c r="F80" s="2"/>
      <c r="G80" s="2"/>
      <c r="H80" s="2"/>
      <c r="I80" s="2"/>
    </row>
    <row r="81" spans="1:9" x14ac:dyDescent="0.25">
      <c r="A81" s="2"/>
      <c r="B81" s="7"/>
      <c r="C81" s="2" t="s">
        <v>505</v>
      </c>
      <c r="D81" s="2"/>
      <c r="E81" s="16" t="s">
        <v>506</v>
      </c>
      <c r="F81" s="108" t="s">
        <v>336</v>
      </c>
      <c r="G81" s="2"/>
      <c r="H81" s="2"/>
      <c r="I81" s="2"/>
    </row>
    <row r="82" spans="1:9" x14ac:dyDescent="0.25">
      <c r="A82" s="2"/>
      <c r="B82" s="747" t="s">
        <v>507</v>
      </c>
      <c r="C82" s="2" t="s">
        <v>508</v>
      </c>
      <c r="D82" s="2"/>
      <c r="E82" s="17">
        <v>0.8</v>
      </c>
      <c r="F82" s="2"/>
      <c r="G82" s="2"/>
      <c r="H82" s="2"/>
      <c r="I82" s="2"/>
    </row>
    <row r="83" spans="1:9" x14ac:dyDescent="0.25">
      <c r="A83" s="2"/>
      <c r="B83" s="747"/>
      <c r="C83" s="2" t="s">
        <v>509</v>
      </c>
      <c r="D83" s="2"/>
      <c r="E83" s="17">
        <v>1.5</v>
      </c>
      <c r="F83" s="2" t="s">
        <v>337</v>
      </c>
      <c r="G83" s="2"/>
      <c r="H83" s="2"/>
      <c r="I83" s="2"/>
    </row>
    <row r="84" spans="1:9" x14ac:dyDescent="0.25">
      <c r="A84" s="2"/>
      <c r="B84" s="18"/>
      <c r="C84" s="2" t="s">
        <v>510</v>
      </c>
      <c r="D84" s="2"/>
      <c r="E84" s="17">
        <v>1.5</v>
      </c>
      <c r="F84" s="2" t="s">
        <v>337</v>
      </c>
      <c r="G84" s="2"/>
      <c r="H84" s="2"/>
      <c r="I84" s="2"/>
    </row>
    <row r="85" spans="1:9" x14ac:dyDescent="0.25">
      <c r="A85" s="2"/>
      <c r="B85" s="18"/>
      <c r="C85" s="2"/>
      <c r="D85" s="2"/>
      <c r="E85" s="19"/>
      <c r="F85" s="2"/>
      <c r="G85" s="2"/>
      <c r="H85" s="2"/>
      <c r="I85" s="2"/>
    </row>
    <row r="86" spans="1:9" x14ac:dyDescent="0.25">
      <c r="A86" s="2"/>
      <c r="B86" s="18"/>
      <c r="C86" s="2"/>
      <c r="D86" s="2"/>
      <c r="E86" s="13"/>
      <c r="F86" s="2"/>
      <c r="G86" s="21"/>
      <c r="H86" s="21"/>
      <c r="I86" s="2"/>
    </row>
    <row r="87" spans="1:9" x14ac:dyDescent="0.25">
      <c r="A87" s="2"/>
      <c r="B87" s="545" t="s">
        <v>4</v>
      </c>
      <c r="C87" s="31" t="s">
        <v>511</v>
      </c>
      <c r="D87" s="20">
        <v>0.05</v>
      </c>
      <c r="E87" s="13"/>
      <c r="F87" s="2"/>
      <c r="G87" s="21"/>
      <c r="H87" s="21"/>
      <c r="I87" s="2"/>
    </row>
    <row r="88" spans="1:9" x14ac:dyDescent="0.25">
      <c r="A88" s="2"/>
      <c r="B88" s="545"/>
      <c r="C88" s="31" t="s">
        <v>512</v>
      </c>
      <c r="D88" s="20">
        <v>0.1</v>
      </c>
      <c r="E88" s="13"/>
      <c r="F88" s="2"/>
      <c r="G88" s="21"/>
      <c r="H88" s="21"/>
      <c r="I88" s="2"/>
    </row>
    <row r="89" spans="1:9" x14ac:dyDescent="0.25">
      <c r="A89" s="2"/>
      <c r="B89" s="18"/>
      <c r="C89" s="31"/>
      <c r="D89" s="192"/>
      <c r="E89" s="13"/>
      <c r="F89" s="2"/>
      <c r="G89" s="159"/>
      <c r="H89" s="159"/>
      <c r="I89" s="2"/>
    </row>
    <row r="90" spans="1:9" x14ac:dyDescent="0.25">
      <c r="A90" s="2"/>
      <c r="B90" s="18"/>
      <c r="C90" s="2"/>
      <c r="D90" s="2"/>
      <c r="E90" s="13"/>
      <c r="F90" s="2"/>
      <c r="G90" s="2"/>
      <c r="H90" s="2"/>
      <c r="I90" s="2"/>
    </row>
    <row r="91" spans="1:9" ht="15.75" x14ac:dyDescent="0.25">
      <c r="A91" s="5" t="s">
        <v>513</v>
      </c>
      <c r="B91" s="18"/>
      <c r="C91" s="25"/>
      <c r="D91" s="108"/>
      <c r="E91" s="13"/>
      <c r="F91" s="2"/>
      <c r="G91" s="2"/>
      <c r="H91" s="2"/>
      <c r="I91" s="2"/>
    </row>
    <row r="92" spans="1:9" ht="15.75" customHeight="1" x14ac:dyDescent="0.25">
      <c r="A92" s="2"/>
      <c r="B92" s="547" t="s">
        <v>8</v>
      </c>
      <c r="C92" s="547"/>
      <c r="D92" s="547"/>
      <c r="E92" s="547"/>
      <c r="F92" s="547"/>
      <c r="G92" s="547"/>
      <c r="H92" s="547"/>
      <c r="I92" s="2"/>
    </row>
    <row r="93" spans="1:9" x14ac:dyDescent="0.25">
      <c r="A93" s="2"/>
      <c r="B93" s="504" t="s">
        <v>9</v>
      </c>
      <c r="C93" s="504" t="s">
        <v>514</v>
      </c>
      <c r="D93" s="504" t="s">
        <v>515</v>
      </c>
      <c r="E93" s="497" t="s">
        <v>10</v>
      </c>
      <c r="F93" s="497"/>
      <c r="G93" s="497"/>
      <c r="H93" s="497"/>
      <c r="I93" s="2"/>
    </row>
    <row r="94" spans="1:9" x14ac:dyDescent="0.25">
      <c r="A94" s="2"/>
      <c r="B94" s="504"/>
      <c r="C94" s="504"/>
      <c r="D94" s="504"/>
      <c r="E94" s="26" t="s">
        <v>11</v>
      </c>
      <c r="F94" s="26" t="s">
        <v>12</v>
      </c>
      <c r="G94" s="26" t="s">
        <v>13</v>
      </c>
      <c r="H94" s="26" t="s">
        <v>14</v>
      </c>
      <c r="I94" s="2"/>
    </row>
    <row r="95" spans="1:9" x14ac:dyDescent="0.25">
      <c r="A95" s="2"/>
      <c r="B95" s="325" t="s">
        <v>516</v>
      </c>
      <c r="C95" s="326">
        <v>8</v>
      </c>
      <c r="D95" s="322">
        <v>6.92</v>
      </c>
      <c r="E95" s="327">
        <v>0.1</v>
      </c>
      <c r="F95" s="327">
        <v>1</v>
      </c>
      <c r="G95" s="327">
        <v>0</v>
      </c>
      <c r="H95" s="327">
        <v>0.5</v>
      </c>
      <c r="I95" s="2"/>
    </row>
    <row r="96" spans="1:9" x14ac:dyDescent="0.25">
      <c r="A96" s="2"/>
      <c r="B96" s="325" t="s">
        <v>517</v>
      </c>
      <c r="C96" s="326">
        <v>8</v>
      </c>
      <c r="D96" s="322">
        <v>19.23</v>
      </c>
      <c r="E96" s="327">
        <v>0</v>
      </c>
      <c r="F96" s="327">
        <v>0</v>
      </c>
      <c r="G96" s="327">
        <v>0</v>
      </c>
      <c r="H96" s="327">
        <v>0.5</v>
      </c>
      <c r="I96" s="2"/>
    </row>
    <row r="97" spans="1:9" x14ac:dyDescent="0.25">
      <c r="A97" s="2"/>
      <c r="B97" s="18"/>
      <c r="C97" s="2"/>
      <c r="D97" s="2"/>
      <c r="E97" s="13"/>
      <c r="F97" s="2"/>
      <c r="G97" s="2"/>
      <c r="H97" s="2"/>
      <c r="I97" s="2"/>
    </row>
    <row r="98" spans="1:9" x14ac:dyDescent="0.25">
      <c r="A98" s="2"/>
      <c r="B98" s="18"/>
      <c r="C98" s="2"/>
      <c r="D98" s="2"/>
      <c r="E98" s="13"/>
      <c r="F98" s="2"/>
      <c r="G98" s="2"/>
      <c r="H98" s="2"/>
      <c r="I98" s="2"/>
    </row>
    <row r="99" spans="1:9" ht="15.75" x14ac:dyDescent="0.25">
      <c r="A99" s="5" t="s">
        <v>518</v>
      </c>
      <c r="B99" s="18"/>
      <c r="C99" s="108"/>
      <c r="D99" s="566" t="s">
        <v>322</v>
      </c>
      <c r="E99" s="566"/>
      <c r="F99" s="566"/>
      <c r="G99" s="566"/>
      <c r="H99" s="2"/>
      <c r="I99" s="2"/>
    </row>
    <row r="100" spans="1:9" x14ac:dyDescent="0.25">
      <c r="A100" s="22"/>
      <c r="B100" s="18"/>
      <c r="C100" s="108"/>
      <c r="D100" s="566"/>
      <c r="E100" s="566"/>
      <c r="F100" s="566"/>
      <c r="G100" s="566"/>
      <c r="H100" s="2"/>
      <c r="I100" s="2"/>
    </row>
    <row r="101" spans="1:9" x14ac:dyDescent="0.25">
      <c r="A101" s="22"/>
      <c r="B101" s="100" t="s">
        <v>143</v>
      </c>
      <c r="C101" s="328"/>
      <c r="D101" s="2"/>
      <c r="E101" s="108" t="s">
        <v>118</v>
      </c>
      <c r="F101" s="2"/>
      <c r="G101" s="2"/>
      <c r="H101" s="2"/>
      <c r="I101" s="2"/>
    </row>
    <row r="102" spans="1:9" x14ac:dyDescent="0.25">
      <c r="A102" s="22"/>
      <c r="B102" s="18"/>
      <c r="C102" s="329"/>
      <c r="D102" s="107"/>
      <c r="E102" s="107"/>
      <c r="F102" s="107"/>
      <c r="G102" s="2"/>
      <c r="H102" s="2"/>
      <c r="I102" s="2"/>
    </row>
    <row r="103" spans="1:9" x14ac:dyDescent="0.25">
      <c r="A103" s="2"/>
      <c r="B103" s="573" t="s">
        <v>23</v>
      </c>
      <c r="C103" s="574"/>
      <c r="D103" s="138" t="s">
        <v>123</v>
      </c>
      <c r="E103" s="575" t="s">
        <v>116</v>
      </c>
      <c r="F103" s="576"/>
      <c r="G103" s="577" t="s">
        <v>117</v>
      </c>
      <c r="H103" s="578"/>
      <c r="I103" s="2"/>
    </row>
    <row r="104" spans="1:9" x14ac:dyDescent="0.25">
      <c r="A104" s="2"/>
      <c r="B104" s="446" t="s">
        <v>39</v>
      </c>
      <c r="C104" s="446"/>
      <c r="D104" s="302" t="s">
        <v>417</v>
      </c>
      <c r="E104" s="29" t="s">
        <v>24</v>
      </c>
      <c r="F104" s="30">
        <v>22</v>
      </c>
      <c r="G104" s="29" t="s">
        <v>24</v>
      </c>
      <c r="H104" s="330">
        <f>F104/1.18</f>
        <v>18.64406779661017</v>
      </c>
      <c r="I104" s="2"/>
    </row>
    <row r="105" spans="1:9" ht="15.75" x14ac:dyDescent="0.25">
      <c r="A105" s="2"/>
      <c r="B105" s="446" t="s">
        <v>236</v>
      </c>
      <c r="C105" s="446"/>
      <c r="D105" s="193" t="s">
        <v>88</v>
      </c>
      <c r="E105" s="29" t="s">
        <v>24</v>
      </c>
      <c r="F105" s="30">
        <v>60</v>
      </c>
      <c r="G105" s="29" t="s">
        <v>24</v>
      </c>
      <c r="H105" s="330">
        <f t="shared" ref="H105:H107" si="0">F105/1.18</f>
        <v>50.847457627118644</v>
      </c>
      <c r="I105" s="2"/>
    </row>
    <row r="106" spans="1:9" ht="15.75" x14ac:dyDescent="0.25">
      <c r="A106" s="2"/>
      <c r="B106" s="446" t="s">
        <v>89</v>
      </c>
      <c r="C106" s="446"/>
      <c r="D106" s="193" t="s">
        <v>88</v>
      </c>
      <c r="E106" s="331" t="s">
        <v>24</v>
      </c>
      <c r="F106" s="332">
        <v>5</v>
      </c>
      <c r="G106" s="29" t="s">
        <v>24</v>
      </c>
      <c r="H106" s="330">
        <f t="shared" si="0"/>
        <v>4.2372881355932206</v>
      </c>
      <c r="I106" s="2"/>
    </row>
    <row r="107" spans="1:9" x14ac:dyDescent="0.25">
      <c r="A107" s="2"/>
      <c r="B107" s="446" t="s">
        <v>496</v>
      </c>
      <c r="C107" s="446"/>
      <c r="D107" s="193" t="s">
        <v>519</v>
      </c>
      <c r="E107" s="333" t="s">
        <v>24</v>
      </c>
      <c r="F107" s="30">
        <v>650</v>
      </c>
      <c r="G107" s="29" t="s">
        <v>24</v>
      </c>
      <c r="H107" s="330">
        <f t="shared" si="0"/>
        <v>550.84745762711873</v>
      </c>
      <c r="I107" s="2"/>
    </row>
    <row r="108" spans="1:9" x14ac:dyDescent="0.25">
      <c r="A108" s="28" t="s">
        <v>119</v>
      </c>
      <c r="B108" s="31"/>
      <c r="C108" s="31"/>
      <c r="D108" s="32"/>
      <c r="E108" s="33"/>
      <c r="F108" s="2"/>
      <c r="G108" s="2"/>
      <c r="H108" s="2"/>
      <c r="I108" s="2"/>
    </row>
    <row r="109" spans="1:9" x14ac:dyDescent="0.25">
      <c r="A109" s="28" t="s">
        <v>120</v>
      </c>
      <c r="B109" s="287" t="s">
        <v>120</v>
      </c>
      <c r="C109" s="31"/>
      <c r="D109" s="31"/>
      <c r="E109" s="32"/>
      <c r="F109" s="33"/>
      <c r="G109" s="2"/>
      <c r="H109" s="2"/>
      <c r="I109" s="2"/>
    </row>
    <row r="110" spans="1:9" x14ac:dyDescent="0.25">
      <c r="A110" s="164"/>
      <c r="B110" s="455" t="s">
        <v>179</v>
      </c>
      <c r="C110" s="455"/>
      <c r="D110" s="564"/>
      <c r="E110" s="17" t="s">
        <v>120</v>
      </c>
      <c r="F110" s="565" t="s">
        <v>520</v>
      </c>
      <c r="G110" s="565"/>
      <c r="H110" s="2"/>
      <c r="I110" s="2"/>
    </row>
    <row r="111" spans="1:9" x14ac:dyDescent="0.25">
      <c r="A111" s="2"/>
      <c r="B111" s="18"/>
      <c r="C111" s="31"/>
      <c r="D111" s="31"/>
      <c r="E111" s="32"/>
      <c r="F111" s="565"/>
      <c r="G111" s="565"/>
      <c r="H111" s="2"/>
      <c r="I111" s="2"/>
    </row>
    <row r="112" spans="1:9" x14ac:dyDescent="0.25">
      <c r="A112" s="2"/>
      <c r="B112" s="18"/>
      <c r="C112" s="31"/>
      <c r="D112" s="31"/>
      <c r="E112" s="32"/>
      <c r="F112" s="33"/>
      <c r="G112" s="2"/>
      <c r="H112" s="2"/>
      <c r="I112" s="2"/>
    </row>
    <row r="113" spans="1:9" x14ac:dyDescent="0.25">
      <c r="A113" s="2"/>
      <c r="B113" s="18"/>
      <c r="C113" s="31"/>
      <c r="D113" s="31"/>
      <c r="E113" s="32"/>
      <c r="F113" s="33"/>
      <c r="G113" s="2"/>
      <c r="H113" s="2"/>
      <c r="I113" s="2"/>
    </row>
    <row r="114" spans="1:9" x14ac:dyDescent="0.25">
      <c r="A114" s="2"/>
      <c r="B114" s="100" t="s">
        <v>144</v>
      </c>
      <c r="C114" s="120"/>
      <c r="D114" s="31"/>
      <c r="E114" s="32"/>
      <c r="F114" s="33"/>
      <c r="G114" s="2"/>
      <c r="H114" s="2"/>
      <c r="I114" s="2"/>
    </row>
    <row r="115" spans="1:9" x14ac:dyDescent="0.25">
      <c r="A115" s="2"/>
      <c r="B115" s="18"/>
      <c r="C115" s="31"/>
      <c r="D115" s="31"/>
      <c r="E115" s="32"/>
      <c r="F115" s="33"/>
      <c r="G115" s="2"/>
      <c r="H115" s="2"/>
      <c r="I115" s="2"/>
    </row>
    <row r="116" spans="1:9" x14ac:dyDescent="0.25">
      <c r="A116" s="2"/>
      <c r="B116" s="567" t="s">
        <v>124</v>
      </c>
      <c r="C116" s="568"/>
      <c r="D116" s="568"/>
      <c r="E116" s="568"/>
      <c r="F116" s="568"/>
      <c r="G116" s="569"/>
      <c r="H116" s="2"/>
      <c r="I116" s="2"/>
    </row>
    <row r="117" spans="1:9" x14ac:dyDescent="0.25">
      <c r="A117" s="2"/>
      <c r="B117" s="570" t="s">
        <v>125</v>
      </c>
      <c r="C117" s="571"/>
      <c r="D117" s="571"/>
      <c r="E117" s="571"/>
      <c r="F117" s="571"/>
      <c r="G117" s="572"/>
      <c r="H117" s="2"/>
      <c r="I117" s="2"/>
    </row>
    <row r="118" spans="1:9" x14ac:dyDescent="0.25">
      <c r="A118" s="2"/>
      <c r="B118" s="524" t="s">
        <v>126</v>
      </c>
      <c r="C118" s="524"/>
      <c r="D118" s="524"/>
      <c r="E118" s="117" t="s">
        <v>12</v>
      </c>
      <c r="F118" s="118" t="s">
        <v>13</v>
      </c>
      <c r="G118" s="117" t="s">
        <v>14</v>
      </c>
      <c r="H118" s="2"/>
      <c r="I118" s="2"/>
    </row>
    <row r="119" spans="1:9" x14ac:dyDescent="0.25">
      <c r="A119" s="2"/>
      <c r="B119" s="525" t="s">
        <v>127</v>
      </c>
      <c r="C119" s="525"/>
      <c r="D119" s="525"/>
      <c r="E119" s="112">
        <v>74.3</v>
      </c>
      <c r="F119" s="112">
        <v>58.45</v>
      </c>
      <c r="G119" s="112">
        <v>52.5</v>
      </c>
      <c r="H119" s="2"/>
      <c r="I119" s="2"/>
    </row>
    <row r="120" spans="1:9" x14ac:dyDescent="0.25">
      <c r="A120" s="2"/>
      <c r="B120" s="526" t="s">
        <v>128</v>
      </c>
      <c r="C120" s="526"/>
      <c r="D120" s="526"/>
      <c r="E120" s="84"/>
      <c r="F120" s="112"/>
      <c r="G120" s="112"/>
      <c r="H120" s="2"/>
      <c r="I120" s="2"/>
    </row>
    <row r="121" spans="1:9" x14ac:dyDescent="0.25">
      <c r="A121" s="2"/>
      <c r="B121" s="121"/>
      <c r="C121" s="122" t="s">
        <v>12</v>
      </c>
      <c r="D121" s="123">
        <v>0.32</v>
      </c>
      <c r="E121" s="84">
        <f>D121*E119</f>
        <v>23.776</v>
      </c>
      <c r="F121" s="112"/>
      <c r="G121" s="112"/>
      <c r="H121" s="2"/>
      <c r="I121" s="2"/>
    </row>
    <row r="122" spans="1:9" x14ac:dyDescent="0.25">
      <c r="A122" s="2"/>
      <c r="B122" s="124"/>
      <c r="C122" s="125" t="s">
        <v>13</v>
      </c>
      <c r="D122" s="126">
        <v>0.3</v>
      </c>
      <c r="E122" s="84"/>
      <c r="F122" s="112">
        <f>D122*F119</f>
        <v>17.535</v>
      </c>
      <c r="G122" s="112"/>
      <c r="H122" s="2"/>
      <c r="I122" s="2"/>
    </row>
    <row r="123" spans="1:9" x14ac:dyDescent="0.25">
      <c r="A123" s="2"/>
      <c r="B123" s="124"/>
      <c r="C123" s="125" t="s">
        <v>14</v>
      </c>
      <c r="D123" s="126">
        <v>0.3</v>
      </c>
      <c r="E123" s="84"/>
      <c r="F123" s="112"/>
      <c r="G123" s="112">
        <f>D123*G119</f>
        <v>15.75</v>
      </c>
      <c r="H123" s="2"/>
      <c r="I123" s="2"/>
    </row>
    <row r="124" spans="1:9" ht="15" customHeight="1" x14ac:dyDescent="0.25">
      <c r="A124" s="2"/>
      <c r="B124" s="527" t="s">
        <v>129</v>
      </c>
      <c r="C124" s="528"/>
      <c r="D124" s="127">
        <v>1.1345000000000001</v>
      </c>
      <c r="E124" s="84">
        <f>D124*E119</f>
        <v>84.293350000000004</v>
      </c>
      <c r="F124" s="112">
        <f>D124*F119</f>
        <v>66.311525000000003</v>
      </c>
      <c r="G124" s="112">
        <f>D124*G119</f>
        <v>59.561250000000001</v>
      </c>
      <c r="H124" s="2"/>
      <c r="I124" s="2"/>
    </row>
    <row r="125" spans="1:9" ht="15" customHeight="1" x14ac:dyDescent="0.25">
      <c r="A125" s="2"/>
      <c r="B125" s="527" t="s">
        <v>130</v>
      </c>
      <c r="C125" s="528"/>
      <c r="D125" s="128">
        <v>0.12</v>
      </c>
      <c r="E125" s="84">
        <f>D125*E121</f>
        <v>2.8531199999999997</v>
      </c>
      <c r="F125" s="112">
        <f>D125*F122</f>
        <v>2.1042000000000001</v>
      </c>
      <c r="G125" s="112">
        <f>D125*G123</f>
        <v>1.89</v>
      </c>
      <c r="H125" s="2"/>
      <c r="I125" s="2"/>
    </row>
    <row r="126" spans="1:9" x14ac:dyDescent="0.25">
      <c r="A126" s="2"/>
      <c r="B126" s="526" t="s">
        <v>131</v>
      </c>
      <c r="C126" s="526"/>
      <c r="D126" s="526"/>
      <c r="E126" s="84">
        <v>8</v>
      </c>
      <c r="F126" s="112">
        <v>8</v>
      </c>
      <c r="G126" s="112">
        <v>8</v>
      </c>
      <c r="H126" s="2"/>
      <c r="I126" s="2"/>
    </row>
    <row r="127" spans="1:9" x14ac:dyDescent="0.25">
      <c r="A127" s="2"/>
      <c r="B127" s="526" t="s">
        <v>132</v>
      </c>
      <c r="C127" s="526"/>
      <c r="D127" s="526"/>
      <c r="E127" s="84">
        <v>0.4</v>
      </c>
      <c r="F127" s="112">
        <v>0.4</v>
      </c>
      <c r="G127" s="112">
        <v>0.4</v>
      </c>
      <c r="H127" s="2"/>
      <c r="I127" s="2"/>
    </row>
    <row r="128" spans="1:9" x14ac:dyDescent="0.25">
      <c r="A128" s="2"/>
      <c r="B128" s="526" t="s">
        <v>133</v>
      </c>
      <c r="C128" s="526"/>
      <c r="D128" s="526"/>
      <c r="E128" s="84">
        <v>0.17</v>
      </c>
      <c r="F128" s="112">
        <v>0.17</v>
      </c>
      <c r="G128" s="112">
        <v>0.17</v>
      </c>
      <c r="H128" s="2"/>
      <c r="I128" s="2"/>
    </row>
    <row r="129" spans="1:9" x14ac:dyDescent="0.25">
      <c r="A129" s="2"/>
      <c r="B129" s="636" t="s">
        <v>134</v>
      </c>
      <c r="C129" s="636"/>
      <c r="D129" s="636"/>
      <c r="E129" s="119">
        <f>E119+E121+E124+E125+E126+E127+E128</f>
        <v>193.79246999999998</v>
      </c>
      <c r="F129" s="118">
        <f>F119+F122+F124+F125+F126+F127+F128</f>
        <v>152.97072499999999</v>
      </c>
      <c r="G129" s="118">
        <f>G119+G123+G124+G125+G126+G127+G128</f>
        <v>138.27124999999998</v>
      </c>
      <c r="H129" s="2"/>
      <c r="I129" s="2"/>
    </row>
    <row r="130" spans="1:9" x14ac:dyDescent="0.25">
      <c r="A130" s="2"/>
      <c r="B130" s="636" t="s">
        <v>135</v>
      </c>
      <c r="C130" s="636"/>
      <c r="D130" s="636"/>
      <c r="E130" s="119">
        <f>E129/8</f>
        <v>24.224058749999998</v>
      </c>
      <c r="F130" s="118">
        <f>F129/8</f>
        <v>19.121340624999998</v>
      </c>
      <c r="G130" s="118">
        <f>G129/8</f>
        <v>17.283906249999998</v>
      </c>
      <c r="H130" s="2"/>
      <c r="I130" s="2"/>
    </row>
    <row r="131" spans="1:9" x14ac:dyDescent="0.25">
      <c r="A131" s="2"/>
      <c r="B131" s="18"/>
      <c r="C131" s="31"/>
      <c r="D131" s="31"/>
      <c r="E131" s="32"/>
      <c r="F131" s="33"/>
      <c r="G131" s="2"/>
      <c r="H131" s="2"/>
      <c r="I131" s="2"/>
    </row>
    <row r="132" spans="1:9" x14ac:dyDescent="0.25">
      <c r="A132" s="2"/>
      <c r="B132" s="580" t="s">
        <v>136</v>
      </c>
      <c r="C132" s="581"/>
      <c r="D132" s="581"/>
      <c r="E132" s="581"/>
      <c r="F132" s="581"/>
      <c r="G132" s="582"/>
      <c r="H132" s="2"/>
      <c r="I132" s="2"/>
    </row>
    <row r="133" spans="1:9" x14ac:dyDescent="0.25">
      <c r="A133" s="2"/>
      <c r="B133" s="129" t="s">
        <v>137</v>
      </c>
      <c r="C133" s="130"/>
      <c r="D133" s="131"/>
      <c r="E133" s="113">
        <v>1.1000000000000001</v>
      </c>
      <c r="F133" s="114" t="s">
        <v>140</v>
      </c>
      <c r="G133" s="111">
        <f>E133*E130</f>
        <v>26.646464625</v>
      </c>
      <c r="H133" s="2"/>
      <c r="I133" s="2"/>
    </row>
    <row r="134" spans="1:9" x14ac:dyDescent="0.25">
      <c r="A134" s="2"/>
      <c r="B134" s="129" t="s">
        <v>12</v>
      </c>
      <c r="C134" s="130"/>
      <c r="D134" s="131"/>
      <c r="E134" s="113"/>
      <c r="F134" s="114"/>
      <c r="G134" s="111">
        <f>E130</f>
        <v>24.224058749999998</v>
      </c>
      <c r="H134" s="2"/>
      <c r="I134" s="2"/>
    </row>
    <row r="135" spans="1:9" x14ac:dyDescent="0.25">
      <c r="A135" s="2"/>
      <c r="B135" s="129" t="s">
        <v>13</v>
      </c>
      <c r="C135" s="130"/>
      <c r="D135" s="131"/>
      <c r="E135" s="115"/>
      <c r="F135" s="116"/>
      <c r="G135" s="111">
        <f>F130</f>
        <v>19.121340624999998</v>
      </c>
      <c r="H135" s="2"/>
      <c r="I135" s="2"/>
    </row>
    <row r="136" spans="1:9" x14ac:dyDescent="0.25">
      <c r="A136" s="2"/>
      <c r="B136" s="129" t="s">
        <v>14</v>
      </c>
      <c r="C136" s="130"/>
      <c r="D136" s="131"/>
      <c r="E136" s="115"/>
      <c r="F136" s="116"/>
      <c r="G136" s="111">
        <f>G130</f>
        <v>17.283906249999998</v>
      </c>
      <c r="H136" s="2"/>
      <c r="I136" s="2"/>
    </row>
    <row r="137" spans="1:9" ht="15" customHeight="1" x14ac:dyDescent="0.25">
      <c r="A137" s="2"/>
      <c r="B137" s="129" t="s">
        <v>138</v>
      </c>
      <c r="C137" s="130"/>
      <c r="D137" s="131"/>
      <c r="E137" s="113">
        <v>1</v>
      </c>
      <c r="F137" s="114" t="s">
        <v>141</v>
      </c>
      <c r="G137" s="111">
        <f>E137*F130</f>
        <v>19.121340624999998</v>
      </c>
      <c r="H137" s="2"/>
      <c r="I137" s="2"/>
    </row>
    <row r="138" spans="1:9" x14ac:dyDescent="0.25">
      <c r="A138" s="2"/>
      <c r="B138" s="630" t="s">
        <v>25</v>
      </c>
      <c r="C138" s="631"/>
      <c r="D138" s="632"/>
      <c r="E138" s="113">
        <v>1.08</v>
      </c>
      <c r="F138" s="114" t="s">
        <v>140</v>
      </c>
      <c r="G138" s="111">
        <f>E138*E130</f>
        <v>26.161983449999997</v>
      </c>
      <c r="H138" s="2"/>
      <c r="I138" s="2"/>
    </row>
    <row r="139" spans="1:9" x14ac:dyDescent="0.25">
      <c r="A139" s="2"/>
      <c r="B139" s="630" t="s">
        <v>139</v>
      </c>
      <c r="C139" s="631"/>
      <c r="D139" s="632"/>
      <c r="E139" s="113">
        <v>1.1000000000000001</v>
      </c>
      <c r="F139" s="114" t="s">
        <v>140</v>
      </c>
      <c r="G139" s="111">
        <f>E139*E130</f>
        <v>26.646464625</v>
      </c>
      <c r="H139" s="2"/>
      <c r="I139" s="2"/>
    </row>
    <row r="140" spans="1:9" x14ac:dyDescent="0.25">
      <c r="A140" s="2"/>
      <c r="B140" s="633" t="s">
        <v>142</v>
      </c>
      <c r="C140" s="633"/>
      <c r="D140" s="633"/>
      <c r="E140" s="633"/>
      <c r="F140" s="633"/>
      <c r="G140" s="633"/>
      <c r="H140" s="2"/>
      <c r="I140" s="2"/>
    </row>
    <row r="141" spans="1:9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5">
      <c r="A142" s="28" t="s">
        <v>147</v>
      </c>
      <c r="B142" s="132" t="s">
        <v>145</v>
      </c>
      <c r="C142" s="133"/>
      <c r="D142" s="136">
        <v>4600</v>
      </c>
      <c r="E142" s="32" t="s">
        <v>146</v>
      </c>
      <c r="F142" s="134">
        <f>50*D142</f>
        <v>230000</v>
      </c>
      <c r="G142" s="2"/>
      <c r="H142" s="2"/>
      <c r="I142" s="2"/>
    </row>
    <row r="143" spans="1:9" x14ac:dyDescent="0.25">
      <c r="A143" s="28" t="s">
        <v>148</v>
      </c>
      <c r="B143" s="18"/>
      <c r="C143" s="31"/>
      <c r="D143" s="31"/>
      <c r="E143" s="32"/>
      <c r="F143" s="33"/>
      <c r="G143" s="2"/>
      <c r="H143" s="2"/>
      <c r="I143" s="2"/>
    </row>
    <row r="144" spans="1:9" ht="15" customHeight="1" x14ac:dyDescent="0.25">
      <c r="A144" s="28" t="s">
        <v>147</v>
      </c>
      <c r="B144" s="456" t="s">
        <v>351</v>
      </c>
      <c r="C144" s="634"/>
      <c r="D144" s="17" t="s">
        <v>147</v>
      </c>
      <c r="E144" s="533" t="s">
        <v>521</v>
      </c>
      <c r="F144" s="533"/>
      <c r="G144" s="2"/>
      <c r="I144" s="2"/>
    </row>
    <row r="145" spans="1:9" x14ac:dyDescent="0.25">
      <c r="A145" s="28" t="s">
        <v>148</v>
      </c>
      <c r="B145" s="18"/>
      <c r="C145" s="31"/>
      <c r="D145" s="31"/>
      <c r="E145" s="533"/>
      <c r="F145" s="533"/>
      <c r="G145" s="2"/>
      <c r="H145" s="2"/>
      <c r="I145" s="2"/>
    </row>
    <row r="146" spans="1:9" x14ac:dyDescent="0.25">
      <c r="A146" s="2"/>
      <c r="B146" s="18"/>
      <c r="C146" s="31"/>
      <c r="D146" s="31"/>
      <c r="E146" s="32"/>
      <c r="F146" s="33"/>
      <c r="G146" s="2"/>
      <c r="H146" s="2"/>
      <c r="I146" s="2"/>
    </row>
    <row r="147" spans="1:9" x14ac:dyDescent="0.25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5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5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5">
      <c r="A150" s="2"/>
      <c r="B150" s="18"/>
      <c r="C150" s="2"/>
      <c r="D150" s="2"/>
      <c r="E150" s="13"/>
      <c r="F150" s="35"/>
      <c r="G150" s="560" t="s">
        <v>28</v>
      </c>
      <c r="H150" s="560"/>
      <c r="I150" s="2"/>
    </row>
    <row r="151" spans="1:9" x14ac:dyDescent="0.25">
      <c r="A151" s="2"/>
      <c r="B151" s="18"/>
      <c r="C151" s="2"/>
      <c r="D151" s="2"/>
      <c r="E151" s="13"/>
      <c r="F151" s="35"/>
      <c r="G151" s="560"/>
      <c r="H151" s="560"/>
      <c r="I151" s="2"/>
    </row>
    <row r="152" spans="1:9" x14ac:dyDescent="0.25">
      <c r="A152" s="2"/>
      <c r="B152" s="18"/>
      <c r="C152" s="2"/>
      <c r="D152" s="2"/>
      <c r="E152" s="13"/>
      <c r="F152" s="35"/>
      <c r="G152" s="560"/>
      <c r="H152" s="560"/>
      <c r="I152" s="2"/>
    </row>
    <row r="153" spans="1:9" x14ac:dyDescent="0.25">
      <c r="A153" s="2"/>
      <c r="B153" s="18"/>
      <c r="C153" s="2"/>
      <c r="D153" s="2"/>
      <c r="E153" s="13"/>
      <c r="F153" s="2"/>
      <c r="G153" s="2"/>
      <c r="H153" s="2"/>
      <c r="I153" s="2"/>
    </row>
    <row r="154" spans="1:9" x14ac:dyDescent="0.25">
      <c r="A154" s="22" t="s">
        <v>522</v>
      </c>
      <c r="B154" s="18"/>
      <c r="C154" s="2"/>
      <c r="D154" s="2"/>
      <c r="E154" s="13"/>
      <c r="F154" s="2"/>
      <c r="G154" s="2"/>
      <c r="H154" s="2"/>
      <c r="I154" s="2"/>
    </row>
    <row r="155" spans="1:9" x14ac:dyDescent="0.25">
      <c r="A155" s="548" t="s">
        <v>29</v>
      </c>
      <c r="B155" s="548"/>
      <c r="C155" s="548"/>
      <c r="D155" s="747" t="s">
        <v>523</v>
      </c>
      <c r="E155" s="747"/>
      <c r="F155" s="747"/>
      <c r="G155" s="748">
        <v>120</v>
      </c>
      <c r="H155" s="750" t="s">
        <v>300</v>
      </c>
      <c r="I155" s="2"/>
    </row>
    <row r="156" spans="1:9" x14ac:dyDescent="0.25">
      <c r="A156" s="334"/>
      <c r="B156" s="334"/>
      <c r="C156" s="334"/>
      <c r="D156" s="747"/>
      <c r="E156" s="747"/>
      <c r="F156" s="747"/>
      <c r="G156" s="749"/>
      <c r="H156" s="750"/>
      <c r="I156" s="2"/>
    </row>
    <row r="157" spans="1:9" x14ac:dyDescent="0.25">
      <c r="A157" s="2"/>
      <c r="B157" s="18"/>
      <c r="C157" s="2"/>
      <c r="D157" s="2"/>
      <c r="E157" s="13"/>
      <c r="F157" s="2"/>
      <c r="G157" s="2"/>
      <c r="H157" s="2"/>
      <c r="I157" s="2"/>
    </row>
    <row r="158" spans="1:9" x14ac:dyDescent="0.25">
      <c r="A158" s="2"/>
      <c r="B158" s="18"/>
      <c r="C158" s="2"/>
      <c r="D158" s="2"/>
      <c r="E158" s="13"/>
      <c r="F158" s="35"/>
      <c r="G158" s="2"/>
      <c r="H158" s="2"/>
      <c r="I158" s="2"/>
    </row>
    <row r="159" spans="1:9" ht="15.75" x14ac:dyDescent="0.25">
      <c r="A159" s="738" t="s">
        <v>524</v>
      </c>
      <c r="B159" s="738"/>
      <c r="C159" s="738"/>
      <c r="D159" s="2"/>
      <c r="E159" s="2"/>
      <c r="F159" s="2"/>
      <c r="G159" s="2"/>
      <c r="H159" s="2"/>
      <c r="I159" s="2"/>
    </row>
    <row r="160" spans="1:9" ht="15.75" x14ac:dyDescent="0.25">
      <c r="A160" s="335"/>
      <c r="B160" s="335"/>
      <c r="C160" s="335"/>
      <c r="D160" s="2"/>
      <c r="E160" s="2"/>
      <c r="F160" s="2"/>
      <c r="G160" s="2"/>
      <c r="H160" s="2"/>
      <c r="I160" s="2"/>
    </row>
    <row r="161" spans="1:9" ht="15.75" x14ac:dyDescent="0.25">
      <c r="A161" s="5" t="s">
        <v>525</v>
      </c>
      <c r="B161" s="2"/>
      <c r="C161" s="2"/>
      <c r="D161" s="2"/>
      <c r="E161" s="2"/>
      <c r="F161" s="2"/>
      <c r="G161" s="2"/>
      <c r="H161" s="2"/>
      <c r="I161" s="2"/>
    </row>
    <row r="162" spans="1:9" x14ac:dyDescent="0.25">
      <c r="A162" s="2"/>
      <c r="B162" s="6" t="s">
        <v>526</v>
      </c>
      <c r="C162" s="2"/>
      <c r="D162" s="2"/>
      <c r="E162" s="2"/>
      <c r="F162" s="2"/>
      <c r="G162" s="2"/>
      <c r="H162" s="2"/>
      <c r="I162" s="2"/>
    </row>
    <row r="163" spans="1:9" x14ac:dyDescent="0.25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5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5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5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5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5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5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5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5">
      <c r="A171" s="2"/>
      <c r="B171" s="2"/>
      <c r="C171" s="741" t="s">
        <v>527</v>
      </c>
      <c r="D171" s="742"/>
      <c r="E171" s="161" t="str">
        <f>D78</f>
        <v>soga</v>
      </c>
      <c r="F171" s="2"/>
      <c r="G171" s="2"/>
      <c r="H171" s="2"/>
      <c r="I171" s="2"/>
    </row>
    <row r="172" spans="1:9" x14ac:dyDescent="0.25">
      <c r="A172" s="2"/>
      <c r="B172" s="2"/>
      <c r="C172" s="161"/>
      <c r="D172" s="161"/>
      <c r="E172" s="161"/>
      <c r="F172" s="2"/>
      <c r="G172" s="2"/>
      <c r="H172" s="2"/>
      <c r="I172" s="2"/>
    </row>
    <row r="173" spans="1:9" x14ac:dyDescent="0.25">
      <c r="A173" s="2"/>
      <c r="B173" s="2"/>
      <c r="C173" s="309" t="s">
        <v>528</v>
      </c>
      <c r="D173" s="229">
        <f>(IF(E171="soga",E73,IF(AND(E171="cabeza"),C71,IF(AND(E171="canto"),E73))))/100</f>
        <v>0.24</v>
      </c>
      <c r="E173" s="50" t="s">
        <v>257</v>
      </c>
      <c r="F173" s="2"/>
      <c r="G173" s="2"/>
      <c r="H173" s="2"/>
      <c r="I173" s="2"/>
    </row>
    <row r="174" spans="1:9" x14ac:dyDescent="0.25">
      <c r="A174" s="2"/>
      <c r="B174" s="2"/>
      <c r="C174" s="311" t="s">
        <v>529</v>
      </c>
      <c r="D174" s="336">
        <f>E83/100</f>
        <v>1.4999999999999999E-2</v>
      </c>
      <c r="E174" s="233" t="s">
        <v>257</v>
      </c>
      <c r="F174" s="2"/>
      <c r="G174" s="2"/>
      <c r="H174" s="2"/>
      <c r="I174" s="2"/>
    </row>
    <row r="175" spans="1:9" x14ac:dyDescent="0.25">
      <c r="A175" s="2"/>
      <c r="B175" s="2"/>
      <c r="C175" s="309" t="s">
        <v>530</v>
      </c>
      <c r="D175" s="229">
        <f>(IF(E171="soga",F71,(IF(AND(E171="cabeza"),F71,IF(AND(E171="canto"),C71)))))/100</f>
        <v>0.09</v>
      </c>
      <c r="E175" s="50" t="s">
        <v>257</v>
      </c>
      <c r="F175" s="2"/>
      <c r="G175" s="2"/>
      <c r="H175" s="2"/>
      <c r="I175" s="2"/>
    </row>
    <row r="176" spans="1:9" x14ac:dyDescent="0.25">
      <c r="A176" s="2"/>
      <c r="B176" s="2"/>
      <c r="C176" s="309" t="s">
        <v>531</v>
      </c>
      <c r="D176" s="337">
        <f>E84/100</f>
        <v>1.4999999999999999E-2</v>
      </c>
      <c r="E176" s="50" t="s">
        <v>257</v>
      </c>
      <c r="F176" s="2"/>
      <c r="G176" s="2"/>
      <c r="H176" s="2"/>
      <c r="I176" s="2"/>
    </row>
    <row r="177" spans="1:9" x14ac:dyDescent="0.25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5">
      <c r="A178" s="2"/>
      <c r="B178" s="2"/>
      <c r="C178" s="307" t="s">
        <v>532</v>
      </c>
      <c r="D178" s="213">
        <f>1/((D173+D174)*(D175+D176))</f>
        <v>37.348272642390292</v>
      </c>
      <c r="E178" s="214" t="s">
        <v>533</v>
      </c>
      <c r="F178" s="2"/>
      <c r="G178" s="2"/>
      <c r="H178" s="2"/>
      <c r="I178" s="2"/>
    </row>
    <row r="179" spans="1:9" x14ac:dyDescent="0.25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5">
      <c r="A180" s="2"/>
      <c r="B180" s="6" t="s">
        <v>534</v>
      </c>
      <c r="C180" s="2"/>
      <c r="D180" s="2"/>
      <c r="E180" s="2"/>
      <c r="F180" s="2"/>
      <c r="G180" s="2"/>
      <c r="H180" s="2"/>
      <c r="I180" s="2"/>
    </row>
    <row r="181" spans="1:9" x14ac:dyDescent="0.25">
      <c r="A181" s="2"/>
      <c r="B181" s="6"/>
      <c r="C181" s="25" t="s">
        <v>535</v>
      </c>
      <c r="D181" s="2"/>
      <c r="E181" s="175">
        <f>D178</f>
        <v>37.348272642390292</v>
      </c>
      <c r="F181" s="25" t="s">
        <v>536</v>
      </c>
      <c r="G181" s="2"/>
      <c r="H181" s="2"/>
      <c r="I181" s="2"/>
    </row>
    <row r="182" spans="1:9" x14ac:dyDescent="0.25">
      <c r="A182" s="2"/>
      <c r="B182" s="6"/>
      <c r="C182" s="2"/>
      <c r="D182" s="2"/>
      <c r="E182" s="2"/>
      <c r="F182" s="2"/>
      <c r="G182" s="2"/>
      <c r="H182" s="2"/>
      <c r="I182" s="2"/>
    </row>
    <row r="183" spans="1:9" x14ac:dyDescent="0.25">
      <c r="A183" s="2"/>
      <c r="B183" s="2"/>
      <c r="C183" s="338" t="s">
        <v>537</v>
      </c>
      <c r="D183" s="339" t="str">
        <f>D69</f>
        <v>King Kong</v>
      </c>
      <c r="E183" s="213">
        <f>E181*G155</f>
        <v>4481.7927170868352</v>
      </c>
      <c r="F183" s="214" t="s">
        <v>538</v>
      </c>
      <c r="G183" s="2"/>
      <c r="H183" s="2"/>
      <c r="I183" s="2"/>
    </row>
    <row r="184" spans="1:9" x14ac:dyDescent="0.25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5">
      <c r="A185" s="2"/>
      <c r="B185" s="537" t="s">
        <v>539</v>
      </c>
      <c r="C185" s="537"/>
      <c r="D185" s="537"/>
      <c r="E185" s="537"/>
      <c r="F185" s="537"/>
      <c r="G185" s="537"/>
      <c r="H185" s="2"/>
      <c r="I185" s="2"/>
    </row>
    <row r="186" spans="1:9" x14ac:dyDescent="0.25">
      <c r="A186" s="2"/>
      <c r="B186" s="2"/>
      <c r="C186" s="24"/>
      <c r="D186" s="24" t="s">
        <v>540</v>
      </c>
      <c r="E186" s="39">
        <f>D87</f>
        <v>0.05</v>
      </c>
      <c r="F186" s="2"/>
      <c r="G186" s="2"/>
      <c r="H186" s="2"/>
      <c r="I186" s="2"/>
    </row>
    <row r="187" spans="1:9" x14ac:dyDescent="0.25">
      <c r="A187" s="2"/>
      <c r="B187" s="2"/>
      <c r="C187" s="340" t="s">
        <v>537</v>
      </c>
      <c r="D187" s="314" t="str">
        <f>D183</f>
        <v>King Kong</v>
      </c>
      <c r="E187" s="341">
        <f>E183+E186*E183</f>
        <v>4705.8823529411766</v>
      </c>
      <c r="F187" s="41" t="s">
        <v>538</v>
      </c>
      <c r="G187" s="2"/>
      <c r="H187" s="2"/>
      <c r="I187" s="2"/>
    </row>
    <row r="188" spans="1:9" x14ac:dyDescent="0.25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5">
      <c r="A189" s="2"/>
      <c r="B189" s="2"/>
      <c r="C189" s="2"/>
      <c r="D189" s="2"/>
      <c r="E189" s="2"/>
      <c r="F189" s="2"/>
      <c r="G189" s="2"/>
      <c r="H189" s="2"/>
      <c r="I189" s="2"/>
    </row>
    <row r="190" spans="1:9" ht="15.75" x14ac:dyDescent="0.25">
      <c r="A190" s="5" t="s">
        <v>541</v>
      </c>
      <c r="B190" s="2"/>
      <c r="C190" s="2"/>
      <c r="D190" s="2"/>
      <c r="E190" s="2"/>
      <c r="F190" s="2"/>
      <c r="G190" s="2"/>
      <c r="H190" s="2"/>
      <c r="I190" s="2"/>
    </row>
    <row r="191" spans="1:9" x14ac:dyDescent="0.25">
      <c r="A191" s="2"/>
      <c r="B191" s="6" t="s">
        <v>542</v>
      </c>
      <c r="C191" s="2"/>
      <c r="D191" s="2"/>
      <c r="E191" s="2"/>
      <c r="F191" s="2"/>
      <c r="G191" s="2"/>
      <c r="H191" s="2"/>
      <c r="I191" s="2"/>
    </row>
    <row r="192" spans="1:9" x14ac:dyDescent="0.25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5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5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5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5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5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5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5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5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5">
      <c r="A201" s="2"/>
      <c r="B201" s="342"/>
      <c r="C201" s="343" t="s">
        <v>543</v>
      </c>
      <c r="D201" s="344" t="str">
        <f>D78</f>
        <v>soga</v>
      </c>
      <c r="E201" s="743">
        <f>IF(D201="soga",C71,IF(AND(D201="cabeza"),E73,IF(AND(D201="canto"),F71)))</f>
        <v>13</v>
      </c>
      <c r="F201" s="744" t="s">
        <v>337</v>
      </c>
      <c r="G201" s="2"/>
      <c r="H201" s="2"/>
      <c r="I201" s="2"/>
    </row>
    <row r="202" spans="1:9" x14ac:dyDescent="0.25">
      <c r="A202" s="2"/>
      <c r="B202" s="745" t="s">
        <v>544</v>
      </c>
      <c r="C202" s="746"/>
      <c r="D202" s="346" t="str">
        <f>D69</f>
        <v>King Kong</v>
      </c>
      <c r="E202" s="743"/>
      <c r="F202" s="744"/>
      <c r="G202" s="2"/>
      <c r="H202" s="2"/>
      <c r="I202" s="2"/>
    </row>
    <row r="203" spans="1:9" x14ac:dyDescent="0.25">
      <c r="A203" s="2"/>
      <c r="B203" s="24"/>
      <c r="C203" s="24"/>
      <c r="D203" s="185"/>
      <c r="E203" s="347"/>
      <c r="F203" s="345"/>
      <c r="G203" s="2"/>
      <c r="H203" s="2"/>
      <c r="I203" s="2"/>
    </row>
    <row r="204" spans="1:9" x14ac:dyDescent="0.25">
      <c r="A204" s="2"/>
      <c r="B204" s="2"/>
      <c r="C204" s="309" t="s">
        <v>545</v>
      </c>
      <c r="D204" s="337">
        <f>1*1*(E201/100)</f>
        <v>0.13</v>
      </c>
      <c r="E204" s="50" t="s">
        <v>257</v>
      </c>
      <c r="F204" s="2"/>
      <c r="G204" s="2"/>
      <c r="H204" s="2"/>
      <c r="I204" s="2"/>
    </row>
    <row r="205" spans="1:9" x14ac:dyDescent="0.25">
      <c r="A205" s="2"/>
      <c r="B205" s="2"/>
      <c r="C205" s="309" t="s">
        <v>546</v>
      </c>
      <c r="D205" s="145">
        <f>D178*((E73/100)*(C71/100)*(F71/100))</f>
        <v>0.10487394957983193</v>
      </c>
      <c r="E205" s="50" t="s">
        <v>257</v>
      </c>
      <c r="F205" s="2"/>
      <c r="G205" s="2"/>
      <c r="H205" s="2"/>
      <c r="I205" s="2"/>
    </row>
    <row r="206" spans="1:9" x14ac:dyDescent="0.25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5">
      <c r="A207" s="2"/>
      <c r="B207" s="2"/>
      <c r="C207" s="307" t="s">
        <v>547</v>
      </c>
      <c r="D207" s="265">
        <f>D204-D205</f>
        <v>2.5126050420168078E-2</v>
      </c>
      <c r="E207" s="214" t="s">
        <v>548</v>
      </c>
      <c r="F207" s="2"/>
      <c r="G207" s="2"/>
      <c r="H207" s="2"/>
      <c r="I207" s="2"/>
    </row>
    <row r="208" spans="1:9" x14ac:dyDescent="0.25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5">
      <c r="A209" s="2"/>
      <c r="B209" s="6" t="s">
        <v>549</v>
      </c>
      <c r="C209" s="2"/>
      <c r="D209" s="2"/>
      <c r="E209" s="2"/>
      <c r="F209" s="2"/>
      <c r="G209" s="2"/>
      <c r="H209" s="2"/>
      <c r="I209" s="2"/>
    </row>
    <row r="210" spans="1:9" x14ac:dyDescent="0.25">
      <c r="A210" s="2"/>
      <c r="B210" s="6"/>
      <c r="C210" s="25" t="s">
        <v>550</v>
      </c>
      <c r="D210" s="2"/>
      <c r="E210" s="176">
        <f>D207</f>
        <v>2.5126050420168078E-2</v>
      </c>
      <c r="F210" s="25" t="s">
        <v>551</v>
      </c>
      <c r="G210" s="2"/>
      <c r="H210" s="2"/>
      <c r="I210" s="2"/>
    </row>
    <row r="211" spans="1:9" x14ac:dyDescent="0.25">
      <c r="A211" s="2"/>
      <c r="B211" s="6"/>
      <c r="C211" s="2"/>
      <c r="D211" s="2"/>
      <c r="E211" s="2"/>
      <c r="F211" s="2"/>
      <c r="G211" s="2"/>
      <c r="H211" s="2"/>
      <c r="I211" s="2"/>
    </row>
    <row r="212" spans="1:9" ht="15.75" x14ac:dyDescent="0.25">
      <c r="A212" s="2"/>
      <c r="B212" s="2"/>
      <c r="C212" s="589" t="s">
        <v>552</v>
      </c>
      <c r="D212" s="590"/>
      <c r="E212" s="213">
        <f>D207*G155</f>
        <v>3.0151260504201693</v>
      </c>
      <c r="F212" s="214" t="s">
        <v>42</v>
      </c>
      <c r="G212" s="2"/>
      <c r="H212" s="2"/>
      <c r="I212" s="2"/>
    </row>
    <row r="213" spans="1:9" x14ac:dyDescent="0.25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5">
      <c r="A214" s="2"/>
      <c r="B214" s="537" t="s">
        <v>553</v>
      </c>
      <c r="C214" s="537"/>
      <c r="D214" s="537"/>
      <c r="E214" s="537"/>
      <c r="F214" s="537"/>
      <c r="G214" s="537"/>
      <c r="H214" s="2"/>
      <c r="I214" s="2"/>
    </row>
    <row r="215" spans="1:9" x14ac:dyDescent="0.25">
      <c r="A215" s="2"/>
      <c r="B215" s="2"/>
      <c r="C215" s="24"/>
      <c r="D215" s="24" t="s">
        <v>554</v>
      </c>
      <c r="E215" s="39">
        <f>D88</f>
        <v>0.1</v>
      </c>
      <c r="F215" s="2"/>
      <c r="G215" s="2"/>
      <c r="H215" s="2"/>
      <c r="I215" s="2"/>
    </row>
    <row r="216" spans="1:9" ht="15.75" x14ac:dyDescent="0.25">
      <c r="A216" s="2"/>
      <c r="B216" s="2"/>
      <c r="C216" s="739" t="s">
        <v>552</v>
      </c>
      <c r="D216" s="740"/>
      <c r="E216" s="40">
        <f>E212+E215*E212</f>
        <v>3.3166386554621861</v>
      </c>
      <c r="F216" s="41" t="s">
        <v>32</v>
      </c>
      <c r="G216" s="2"/>
      <c r="H216" s="2"/>
      <c r="I216" s="2"/>
    </row>
    <row r="217" spans="1:9" x14ac:dyDescent="0.25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5">
      <c r="A218" s="2"/>
      <c r="B218" s="2"/>
      <c r="C218" s="2"/>
      <c r="D218" s="2"/>
      <c r="E218" s="2"/>
      <c r="F218" s="2"/>
      <c r="G218" s="2"/>
      <c r="H218" s="2"/>
      <c r="I218" s="2"/>
    </row>
    <row r="219" spans="1:9" ht="15.75" x14ac:dyDescent="0.25">
      <c r="A219" s="5" t="s">
        <v>555</v>
      </c>
      <c r="B219" s="42"/>
      <c r="C219" s="42"/>
      <c r="D219" s="2"/>
      <c r="E219" s="2"/>
      <c r="F219" s="2"/>
      <c r="G219" s="2"/>
      <c r="H219" s="2"/>
      <c r="I219" s="2"/>
    </row>
    <row r="220" spans="1:9" x14ac:dyDescent="0.25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5">
      <c r="A221" s="2"/>
      <c r="B221" s="6" t="s">
        <v>556</v>
      </c>
      <c r="C221" s="2"/>
      <c r="D221" s="2"/>
      <c r="E221" s="2"/>
      <c r="F221" s="2"/>
      <c r="G221" s="2"/>
      <c r="H221" s="2"/>
      <c r="I221" s="2"/>
    </row>
    <row r="222" spans="1:9" x14ac:dyDescent="0.25">
      <c r="A222" s="2"/>
      <c r="B222" s="6" t="s">
        <v>557</v>
      </c>
      <c r="C222" s="2"/>
      <c r="D222" s="2"/>
      <c r="E222" s="2"/>
      <c r="F222" s="2"/>
      <c r="G222" s="2"/>
      <c r="H222" s="2"/>
      <c r="I222" s="2"/>
    </row>
    <row r="223" spans="1:9" x14ac:dyDescent="0.25">
      <c r="A223" s="2"/>
      <c r="B223" s="6"/>
      <c r="C223" s="2"/>
      <c r="D223" s="2"/>
      <c r="E223" s="2"/>
      <c r="F223" s="2"/>
      <c r="G223" s="2"/>
      <c r="H223" s="2"/>
      <c r="I223" s="2"/>
    </row>
    <row r="224" spans="1:9" x14ac:dyDescent="0.25">
      <c r="A224" s="2"/>
      <c r="B224" s="31" t="s">
        <v>558</v>
      </c>
      <c r="C224" s="32" t="s">
        <v>559</v>
      </c>
      <c r="D224" s="68">
        <f>E82</f>
        <v>0.8</v>
      </c>
      <c r="E224" s="32" t="s">
        <v>38</v>
      </c>
      <c r="F224" s="68">
        <f>42.5*D224</f>
        <v>34</v>
      </c>
      <c r="G224" s="2" t="s">
        <v>560</v>
      </c>
      <c r="H224" s="2"/>
      <c r="I224" s="2"/>
    </row>
    <row r="225" spans="1:9" x14ac:dyDescent="0.25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5">
      <c r="A226" s="2"/>
      <c r="B226" s="6" t="s">
        <v>561</v>
      </c>
      <c r="C226" s="2"/>
      <c r="D226" s="68">
        <v>1000</v>
      </c>
      <c r="E226" s="2" t="s">
        <v>562</v>
      </c>
      <c r="F226" s="2"/>
      <c r="G226" s="2"/>
      <c r="H226" s="2"/>
      <c r="I226" s="2"/>
    </row>
    <row r="227" spans="1:9" x14ac:dyDescent="0.25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5">
      <c r="A228" s="2"/>
      <c r="B228" s="6" t="s">
        <v>563</v>
      </c>
      <c r="C228" s="2"/>
      <c r="D228" s="2"/>
      <c r="E228" s="2"/>
      <c r="F228" s="2"/>
      <c r="G228" s="2"/>
      <c r="H228" s="2"/>
      <c r="I228" s="2"/>
    </row>
    <row r="229" spans="1:9" ht="15" customHeight="1" x14ac:dyDescent="0.25">
      <c r="A229" s="2"/>
      <c r="B229" s="2"/>
      <c r="C229" s="505" t="s">
        <v>564</v>
      </c>
      <c r="D229" s="625" t="s">
        <v>279</v>
      </c>
      <c r="E229" s="626"/>
      <c r="F229" s="627"/>
      <c r="G229" s="2"/>
      <c r="H229" s="2"/>
      <c r="I229" s="2"/>
    </row>
    <row r="230" spans="1:9" ht="15.75" x14ac:dyDescent="0.25">
      <c r="A230" s="2"/>
      <c r="B230" s="2"/>
      <c r="C230" s="506"/>
      <c r="D230" s="26" t="s">
        <v>565</v>
      </c>
      <c r="E230" s="26" t="s">
        <v>566</v>
      </c>
      <c r="F230" s="26" t="s">
        <v>567</v>
      </c>
      <c r="G230" s="2"/>
      <c r="H230" s="2"/>
      <c r="I230" s="2"/>
    </row>
    <row r="231" spans="1:9" x14ac:dyDescent="0.25">
      <c r="A231" s="2"/>
      <c r="B231" s="2"/>
      <c r="C231" s="8" t="s">
        <v>568</v>
      </c>
      <c r="D231" s="11">
        <v>454</v>
      </c>
      <c r="E231" s="11">
        <v>1.1000000000000001</v>
      </c>
      <c r="F231" s="11">
        <v>250</v>
      </c>
      <c r="G231" s="2"/>
      <c r="H231" s="2"/>
      <c r="I231" s="2"/>
    </row>
    <row r="232" spans="1:9" x14ac:dyDescent="0.25">
      <c r="A232" s="2"/>
      <c r="B232" s="2"/>
      <c r="C232" s="8" t="s">
        <v>569</v>
      </c>
      <c r="D232" s="11">
        <v>364</v>
      </c>
      <c r="E232" s="11">
        <v>1.1599999999999999</v>
      </c>
      <c r="F232" s="11">
        <v>240</v>
      </c>
      <c r="G232" s="2"/>
      <c r="H232" s="2"/>
      <c r="I232" s="2"/>
    </row>
    <row r="233" spans="1:9" x14ac:dyDescent="0.25">
      <c r="A233" s="2"/>
      <c r="B233" s="2"/>
      <c r="C233" s="8" t="s">
        <v>506</v>
      </c>
      <c r="D233" s="11">
        <v>302</v>
      </c>
      <c r="E233" s="11">
        <v>1.2</v>
      </c>
      <c r="F233" s="11">
        <v>240</v>
      </c>
      <c r="G233" s="2"/>
      <c r="H233" s="2"/>
      <c r="I233" s="2"/>
    </row>
    <row r="234" spans="1:9" x14ac:dyDescent="0.25">
      <c r="A234" s="2"/>
      <c r="B234" s="2"/>
      <c r="C234" s="8" t="s">
        <v>570</v>
      </c>
      <c r="D234" s="11">
        <v>261</v>
      </c>
      <c r="E234" s="11">
        <v>1.2</v>
      </c>
      <c r="F234" s="11">
        <v>235</v>
      </c>
      <c r="G234" s="2"/>
      <c r="H234" s="2"/>
      <c r="I234" s="2"/>
    </row>
    <row r="235" spans="1:9" x14ac:dyDescent="0.25">
      <c r="A235" s="2"/>
      <c r="B235" s="2"/>
      <c r="C235" s="348"/>
      <c r="D235" s="68"/>
      <c r="E235" s="68"/>
      <c r="F235" s="68"/>
      <c r="G235" s="2"/>
      <c r="H235" s="2"/>
      <c r="I235" s="2"/>
    </row>
    <row r="236" spans="1:9" x14ac:dyDescent="0.25">
      <c r="A236" s="2"/>
      <c r="B236" s="2"/>
      <c r="C236" s="2"/>
      <c r="D236" s="2"/>
      <c r="E236" s="2"/>
      <c r="F236" s="349" t="s">
        <v>34</v>
      </c>
      <c r="G236" s="229">
        <f>IF(E237=C231,D231,IF(AND(E237=C232),D232,IF(AND(E237=C233),D233,IF(AND(E237=C234),D234))))</f>
        <v>302</v>
      </c>
      <c r="H236" s="50" t="s">
        <v>169</v>
      </c>
      <c r="I236" s="2"/>
    </row>
    <row r="237" spans="1:9" x14ac:dyDescent="0.25">
      <c r="A237" s="2"/>
      <c r="B237" s="2"/>
      <c r="C237" s="144"/>
      <c r="D237" s="350" t="s">
        <v>571</v>
      </c>
      <c r="E237" s="272" t="str">
        <f>E81</f>
        <v>1:5</v>
      </c>
      <c r="F237" s="349" t="s">
        <v>572</v>
      </c>
      <c r="G237" s="229">
        <f>IF(E237=C231,E231,IF(AND(E237=C232),E232,IF(AND(E237=C233),E233,IF(AND(E237=C234),E234))))</f>
        <v>1.2</v>
      </c>
      <c r="H237" s="50" t="s">
        <v>573</v>
      </c>
      <c r="I237" s="2"/>
    </row>
    <row r="238" spans="1:9" x14ac:dyDescent="0.25">
      <c r="A238" s="2"/>
      <c r="B238" s="2"/>
      <c r="C238" s="2"/>
      <c r="D238" s="2"/>
      <c r="E238" s="2"/>
      <c r="F238" s="349" t="s">
        <v>38</v>
      </c>
      <c r="G238" s="229">
        <f>IF(E237=C231,F231,IF(AND(E237=C232),F232,IF(AND(E237=C233),F233,IF(AND(E237=C234),F234))))</f>
        <v>240</v>
      </c>
      <c r="H238" s="50" t="s">
        <v>574</v>
      </c>
      <c r="I238" s="2"/>
    </row>
    <row r="239" spans="1:9" x14ac:dyDescent="0.25">
      <c r="A239" s="2"/>
      <c r="B239" s="2"/>
      <c r="C239" s="2"/>
      <c r="D239" s="2"/>
      <c r="E239" s="2"/>
      <c r="F239" s="2"/>
      <c r="G239" s="68"/>
      <c r="H239" s="2"/>
      <c r="I239" s="2"/>
    </row>
    <row r="240" spans="1:9" x14ac:dyDescent="0.25">
      <c r="A240" s="2"/>
      <c r="B240" s="6" t="s">
        <v>575</v>
      </c>
      <c r="C240" s="2"/>
      <c r="D240" s="2"/>
      <c r="E240" s="2"/>
      <c r="F240" s="2"/>
      <c r="G240" s="2"/>
      <c r="H240" s="2"/>
      <c r="I240" s="2"/>
    </row>
    <row r="241" spans="1:9" x14ac:dyDescent="0.25">
      <c r="A241" s="2"/>
      <c r="B241" s="2"/>
      <c r="C241" s="351" t="s">
        <v>576</v>
      </c>
      <c r="D241" s="62"/>
      <c r="E241" s="352">
        <f>G236/42.5</f>
        <v>7.1058823529411761</v>
      </c>
      <c r="F241" s="63" t="s">
        <v>35</v>
      </c>
      <c r="G241" s="2"/>
      <c r="H241" s="2"/>
      <c r="I241" s="2"/>
    </row>
    <row r="242" spans="1:9" x14ac:dyDescent="0.25">
      <c r="A242" s="2"/>
      <c r="B242" s="2"/>
      <c r="C242" s="353" t="s">
        <v>577</v>
      </c>
      <c r="D242" s="101"/>
      <c r="E242" s="354">
        <f>G237</f>
        <v>1.2</v>
      </c>
      <c r="F242" s="355" t="s">
        <v>573</v>
      </c>
      <c r="G242" s="2"/>
      <c r="H242" s="2"/>
      <c r="I242" s="2"/>
    </row>
    <row r="243" spans="1:9" x14ac:dyDescent="0.25">
      <c r="A243" s="2"/>
      <c r="B243" s="2"/>
      <c r="C243" s="356" t="s">
        <v>578</v>
      </c>
      <c r="D243" s="65"/>
      <c r="E243" s="357">
        <f>(F224*E241)/D226</f>
        <v>0.24159999999999998</v>
      </c>
      <c r="F243" s="66" t="s">
        <v>579</v>
      </c>
      <c r="G243" s="2" t="s">
        <v>580</v>
      </c>
      <c r="H243" s="2"/>
      <c r="I243" s="2"/>
    </row>
    <row r="244" spans="1:9" x14ac:dyDescent="0.25">
      <c r="A244" s="2"/>
      <c r="B244" s="2"/>
      <c r="C244" s="2"/>
      <c r="D244" s="2"/>
      <c r="E244" s="2"/>
      <c r="F244" s="2"/>
      <c r="G244" s="2"/>
      <c r="H244" s="2"/>
      <c r="I244" s="2"/>
    </row>
    <row r="245" spans="1:9" ht="15.75" x14ac:dyDescent="0.25">
      <c r="A245" s="5" t="s">
        <v>581</v>
      </c>
      <c r="B245" s="2"/>
      <c r="C245" s="2"/>
      <c r="D245" s="2"/>
      <c r="E245" s="2"/>
      <c r="F245" s="2"/>
      <c r="G245" s="2"/>
      <c r="H245" s="2"/>
      <c r="I245" s="2"/>
    </row>
    <row r="246" spans="1:9" x14ac:dyDescent="0.25">
      <c r="A246" s="22"/>
      <c r="B246" s="2"/>
      <c r="C246" s="143" t="s">
        <v>535</v>
      </c>
      <c r="D246" s="2"/>
      <c r="E246" s="175">
        <f>D178</f>
        <v>37.348272642390292</v>
      </c>
      <c r="F246" s="358" t="s">
        <v>582</v>
      </c>
      <c r="G246" s="2"/>
      <c r="H246" s="2"/>
      <c r="I246" s="2"/>
    </row>
    <row r="247" spans="1:9" x14ac:dyDescent="0.25">
      <c r="A247" s="22"/>
      <c r="B247" s="2"/>
      <c r="C247" s="143" t="s">
        <v>550</v>
      </c>
      <c r="D247" s="2"/>
      <c r="E247" s="176">
        <f>D207</f>
        <v>2.5126050420168078E-2</v>
      </c>
      <c r="F247" s="25" t="s">
        <v>583</v>
      </c>
      <c r="G247" s="2"/>
      <c r="H247" s="2"/>
      <c r="I247" s="2"/>
    </row>
    <row r="248" spans="1:9" x14ac:dyDescent="0.25">
      <c r="A248" s="22"/>
      <c r="B248" s="2"/>
      <c r="C248" s="2"/>
      <c r="D248" s="2"/>
      <c r="E248" s="2"/>
      <c r="F248" s="2"/>
      <c r="G248" s="2"/>
      <c r="H248" s="2"/>
      <c r="I248" s="2"/>
    </row>
    <row r="249" spans="1:9" x14ac:dyDescent="0.25">
      <c r="A249" s="2"/>
      <c r="B249" s="2"/>
      <c r="C249" s="48" t="s">
        <v>39</v>
      </c>
      <c r="D249" s="49"/>
      <c r="E249" s="266">
        <f>E241*E247</f>
        <v>0.17854275827978255</v>
      </c>
      <c r="F249" s="50" t="s">
        <v>584</v>
      </c>
      <c r="G249" s="2"/>
      <c r="H249" s="2"/>
      <c r="I249" s="2"/>
    </row>
    <row r="250" spans="1:9" x14ac:dyDescent="0.25">
      <c r="A250" s="2"/>
      <c r="B250" s="2"/>
      <c r="C250" s="48" t="s">
        <v>585</v>
      </c>
      <c r="D250" s="49"/>
      <c r="E250" s="266">
        <f>E242*E247</f>
        <v>3.0151260504201693E-2</v>
      </c>
      <c r="F250" s="50" t="s">
        <v>586</v>
      </c>
      <c r="G250" s="2"/>
      <c r="H250" s="2"/>
      <c r="I250" s="2"/>
    </row>
    <row r="251" spans="1:9" x14ac:dyDescent="0.25">
      <c r="A251" s="2"/>
      <c r="B251" s="2"/>
      <c r="C251" s="48" t="s">
        <v>41</v>
      </c>
      <c r="D251" s="49"/>
      <c r="E251" s="266">
        <f>E247*E243</f>
        <v>6.0704537815126072E-3</v>
      </c>
      <c r="F251" s="50" t="s">
        <v>586</v>
      </c>
      <c r="G251" s="2"/>
      <c r="H251" s="2"/>
      <c r="I251" s="2"/>
    </row>
    <row r="252" spans="1:9" x14ac:dyDescent="0.25">
      <c r="A252" s="2"/>
      <c r="B252" s="2"/>
      <c r="C252" s="48" t="s">
        <v>587</v>
      </c>
      <c r="D252" s="49"/>
      <c r="E252" s="146">
        <f>E246</f>
        <v>37.348272642390292</v>
      </c>
      <c r="F252" s="359" t="s">
        <v>588</v>
      </c>
      <c r="G252" s="2"/>
      <c r="H252" s="2"/>
      <c r="I252" s="2"/>
    </row>
    <row r="253" spans="1:9" x14ac:dyDescent="0.25">
      <c r="A253" s="2"/>
      <c r="B253" s="2"/>
      <c r="C253" s="2"/>
      <c r="D253" s="2"/>
      <c r="E253" s="2"/>
      <c r="F253" s="2"/>
      <c r="G253" s="2"/>
      <c r="H253" s="2"/>
      <c r="I253" s="2"/>
    </row>
    <row r="254" spans="1:9" ht="15.75" x14ac:dyDescent="0.25">
      <c r="A254" s="5" t="s">
        <v>589</v>
      </c>
      <c r="B254" s="2"/>
      <c r="C254" s="2"/>
      <c r="D254" s="2"/>
      <c r="E254" s="2"/>
      <c r="F254" s="2"/>
      <c r="G254" s="2"/>
      <c r="H254" s="2"/>
      <c r="I254" s="2"/>
    </row>
    <row r="255" spans="1:9" x14ac:dyDescent="0.25">
      <c r="A255" s="2"/>
      <c r="B255" s="2"/>
      <c r="C255" s="25" t="s">
        <v>540</v>
      </c>
      <c r="D255" s="2"/>
      <c r="E255" s="39">
        <f>D87</f>
        <v>0.05</v>
      </c>
      <c r="F255" s="2"/>
      <c r="G255" s="2"/>
      <c r="H255" s="2"/>
      <c r="I255" s="2"/>
    </row>
    <row r="256" spans="1:9" x14ac:dyDescent="0.25">
      <c r="A256" s="2"/>
      <c r="B256" s="2"/>
      <c r="C256" s="25" t="s">
        <v>554</v>
      </c>
      <c r="D256" s="2"/>
      <c r="E256" s="39">
        <f>D88</f>
        <v>0.1</v>
      </c>
      <c r="F256" s="2"/>
      <c r="G256" s="2"/>
      <c r="H256" s="2"/>
      <c r="I256" s="2"/>
    </row>
    <row r="257" spans="1:9" x14ac:dyDescent="0.25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5">
      <c r="A258" s="2"/>
      <c r="B258" s="2"/>
      <c r="C258" s="360" t="s">
        <v>39</v>
      </c>
      <c r="D258" s="361"/>
      <c r="E258" s="362">
        <f>E249+E256*E249</f>
        <v>0.1963970341077608</v>
      </c>
      <c r="F258" s="214" t="s">
        <v>584</v>
      </c>
      <c r="G258" s="2"/>
      <c r="H258" s="57"/>
      <c r="I258" s="2"/>
    </row>
    <row r="259" spans="1:9" x14ac:dyDescent="0.25">
      <c r="A259" s="2"/>
      <c r="B259" s="2"/>
      <c r="C259" s="360" t="s">
        <v>585</v>
      </c>
      <c r="D259" s="361"/>
      <c r="E259" s="362">
        <f>E250+E256*E250</f>
        <v>3.3166386554621861E-2</v>
      </c>
      <c r="F259" s="214" t="s">
        <v>548</v>
      </c>
      <c r="G259" s="2"/>
      <c r="H259" s="57"/>
      <c r="I259" s="2"/>
    </row>
    <row r="260" spans="1:9" x14ac:dyDescent="0.25">
      <c r="A260" s="2"/>
      <c r="B260" s="2"/>
      <c r="C260" s="360" t="s">
        <v>41</v>
      </c>
      <c r="D260" s="361"/>
      <c r="E260" s="362">
        <f>E251+E256*E251</f>
        <v>6.677499159663868E-3</v>
      </c>
      <c r="F260" s="214" t="s">
        <v>548</v>
      </c>
      <c r="G260" s="2"/>
      <c r="H260" s="57"/>
      <c r="I260" s="2"/>
    </row>
    <row r="261" spans="1:9" x14ac:dyDescent="0.25">
      <c r="A261" s="2"/>
      <c r="B261" s="2"/>
      <c r="C261" s="360" t="s">
        <v>587</v>
      </c>
      <c r="D261" s="361"/>
      <c r="E261" s="213">
        <f>E252+E255*E252</f>
        <v>39.215686274509807</v>
      </c>
      <c r="F261" s="363" t="s">
        <v>588</v>
      </c>
      <c r="G261" s="2"/>
      <c r="H261" s="2"/>
      <c r="I261" s="2"/>
    </row>
    <row r="262" spans="1:9" x14ac:dyDescent="0.25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5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5">
      <c r="A264" s="6" t="s">
        <v>590</v>
      </c>
      <c r="B264" s="2"/>
      <c r="C264" s="2"/>
      <c r="D264" s="2"/>
      <c r="E264" s="2"/>
      <c r="F264" s="2"/>
      <c r="G264" s="2"/>
      <c r="H264" s="2"/>
      <c r="I264" s="2"/>
    </row>
    <row r="265" spans="1:9" x14ac:dyDescent="0.25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5">
      <c r="A266" s="2"/>
      <c r="B266" s="2"/>
      <c r="C266" s="55" t="s">
        <v>39</v>
      </c>
      <c r="D266" s="56"/>
      <c r="E266" s="40">
        <f>E258*G155</f>
        <v>23.567644092931296</v>
      </c>
      <c r="F266" s="41" t="s">
        <v>35</v>
      </c>
      <c r="G266" s="2"/>
      <c r="H266" s="2"/>
      <c r="I266" s="2"/>
    </row>
    <row r="267" spans="1:9" ht="15.75" x14ac:dyDescent="0.25">
      <c r="A267" s="2"/>
      <c r="B267" s="2"/>
      <c r="C267" s="55" t="s">
        <v>585</v>
      </c>
      <c r="D267" s="56"/>
      <c r="E267" s="40">
        <f>E259*G155</f>
        <v>3.9799663865546235</v>
      </c>
      <c r="F267" s="41" t="s">
        <v>42</v>
      </c>
      <c r="G267" s="2"/>
      <c r="H267" s="2"/>
      <c r="I267" s="2"/>
    </row>
    <row r="268" spans="1:9" ht="15.75" x14ac:dyDescent="0.25">
      <c r="A268" s="2"/>
      <c r="B268" s="2"/>
      <c r="C268" s="55" t="s">
        <v>41</v>
      </c>
      <c r="D268" s="56"/>
      <c r="E268" s="59">
        <f>E260*G155</f>
        <v>0.80129989915966415</v>
      </c>
      <c r="F268" s="41" t="s">
        <v>42</v>
      </c>
      <c r="G268" s="2"/>
      <c r="H268" s="2"/>
      <c r="I268" s="2"/>
    </row>
    <row r="269" spans="1:9" x14ac:dyDescent="0.25">
      <c r="A269" s="2"/>
      <c r="B269" s="2"/>
      <c r="C269" s="55" t="s">
        <v>587</v>
      </c>
      <c r="D269" s="56"/>
      <c r="E269" s="341">
        <f>E261*G155</f>
        <v>4705.8823529411766</v>
      </c>
      <c r="F269" s="364" t="s">
        <v>538</v>
      </c>
      <c r="G269" s="2"/>
      <c r="H269" s="2"/>
      <c r="I269" s="2"/>
    </row>
    <row r="270" spans="1:9" x14ac:dyDescent="0.25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5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5">
      <c r="A272" s="2"/>
      <c r="B272" s="2"/>
      <c r="C272" s="2"/>
      <c r="D272" s="2"/>
      <c r="E272" s="2"/>
      <c r="F272" s="2"/>
      <c r="G272" s="2"/>
      <c r="H272" s="2"/>
      <c r="I272" s="2"/>
    </row>
    <row r="273" spans="1:9" ht="15.75" x14ac:dyDescent="0.25">
      <c r="A273" s="738" t="s">
        <v>591</v>
      </c>
      <c r="B273" s="738"/>
      <c r="C273" s="738"/>
      <c r="E273" s="2"/>
      <c r="F273" s="2"/>
      <c r="G273" s="2"/>
      <c r="I273" s="2"/>
    </row>
    <row r="274" spans="1:9" x14ac:dyDescent="0.25">
      <c r="A274" s="2"/>
      <c r="B274" s="2"/>
      <c r="C274" s="2"/>
      <c r="D274" s="2"/>
      <c r="E274" s="61"/>
      <c r="F274" s="62"/>
      <c r="G274" s="63"/>
      <c r="H274" s="2"/>
      <c r="I274" s="2"/>
    </row>
    <row r="275" spans="1:9" x14ac:dyDescent="0.25">
      <c r="A275" s="2"/>
      <c r="B275" s="2"/>
      <c r="C275" s="2"/>
      <c r="D275" s="2"/>
      <c r="E275" s="64"/>
      <c r="F275" s="65"/>
      <c r="G275" s="66"/>
      <c r="H275" s="2"/>
      <c r="I275" s="2"/>
    </row>
    <row r="276" spans="1:9" x14ac:dyDescent="0.25">
      <c r="A276" s="2"/>
      <c r="B276" s="2"/>
      <c r="C276" s="2"/>
      <c r="D276" s="2"/>
      <c r="E276" s="2"/>
      <c r="F276" s="2"/>
      <c r="G276" s="2"/>
      <c r="I276" s="2"/>
    </row>
    <row r="277" spans="1:9" ht="15.75" x14ac:dyDescent="0.25">
      <c r="A277" s="5" t="s">
        <v>592</v>
      </c>
      <c r="B277" s="6"/>
      <c r="C277" s="2"/>
      <c r="D277" s="2"/>
      <c r="E277" s="2"/>
      <c r="F277" s="2"/>
      <c r="G277" s="2"/>
      <c r="H277" s="2"/>
      <c r="I277" s="2"/>
    </row>
    <row r="278" spans="1:9" x14ac:dyDescent="0.25">
      <c r="A278" s="22"/>
      <c r="B278" s="6"/>
      <c r="C278" s="2"/>
      <c r="D278" s="2"/>
      <c r="E278" s="2"/>
      <c r="F278" s="2"/>
      <c r="G278" s="2"/>
      <c r="H278" s="2"/>
      <c r="I278" s="2"/>
    </row>
    <row r="279" spans="1:9" x14ac:dyDescent="0.25">
      <c r="A279" s="22"/>
      <c r="B279" s="6"/>
      <c r="C279" s="504" t="s">
        <v>47</v>
      </c>
      <c r="D279" s="497" t="s">
        <v>593</v>
      </c>
      <c r="E279" s="497"/>
      <c r="F279" s="504" t="s">
        <v>594</v>
      </c>
      <c r="G279" s="2"/>
      <c r="H279" s="2"/>
      <c r="I279" s="2"/>
    </row>
    <row r="280" spans="1:9" x14ac:dyDescent="0.25">
      <c r="A280" s="2"/>
      <c r="B280" s="2"/>
      <c r="C280" s="504"/>
      <c r="D280" s="26" t="s">
        <v>516</v>
      </c>
      <c r="E280" s="26" t="s">
        <v>517</v>
      </c>
      <c r="F280" s="504"/>
      <c r="G280" s="2"/>
      <c r="H280" s="2"/>
      <c r="I280" s="2"/>
    </row>
    <row r="281" spans="1:9" x14ac:dyDescent="0.25">
      <c r="A281" s="2"/>
      <c r="B281" s="2"/>
      <c r="C281" s="325" t="s">
        <v>11</v>
      </c>
      <c r="D281" s="81">
        <f>(E95*C95)/D95</f>
        <v>0.11560693641618498</v>
      </c>
      <c r="E281" s="365">
        <f>(E96*C96)/D96</f>
        <v>0</v>
      </c>
      <c r="F281" s="366">
        <f>D281+E281</f>
        <v>0.11560693641618498</v>
      </c>
      <c r="G281" s="2"/>
      <c r="H281" s="2"/>
      <c r="I281" s="2"/>
    </row>
    <row r="282" spans="1:9" x14ac:dyDescent="0.25">
      <c r="A282" s="2"/>
      <c r="B282" s="2"/>
      <c r="C282" s="325" t="s">
        <v>12</v>
      </c>
      <c r="D282" s="81">
        <f>(F95*C95)/D95</f>
        <v>1.1560693641618498</v>
      </c>
      <c r="E282" s="365">
        <f>(F96*C96)/D96</f>
        <v>0</v>
      </c>
      <c r="F282" s="366">
        <f t="shared" ref="F282:F284" si="1">D282+E282</f>
        <v>1.1560693641618498</v>
      </c>
      <c r="G282" s="2"/>
      <c r="H282" s="2"/>
      <c r="I282" s="2"/>
    </row>
    <row r="283" spans="1:9" x14ac:dyDescent="0.25">
      <c r="A283" s="2"/>
      <c r="B283" s="2"/>
      <c r="C283" s="325" t="s">
        <v>13</v>
      </c>
      <c r="D283" s="81">
        <f>(G95*C95)/D95</f>
        <v>0</v>
      </c>
      <c r="E283" s="365">
        <f>(G96*C96)/D96</f>
        <v>0</v>
      </c>
      <c r="F283" s="366">
        <f t="shared" si="1"/>
        <v>0</v>
      </c>
      <c r="G283" s="2"/>
      <c r="H283" s="2"/>
      <c r="I283" s="2"/>
    </row>
    <row r="284" spans="1:9" x14ac:dyDescent="0.25">
      <c r="A284" s="2"/>
      <c r="B284" s="2"/>
      <c r="C284" s="325" t="s">
        <v>14</v>
      </c>
      <c r="D284" s="81">
        <f>(H95*C95)/D95</f>
        <v>0.5780346820809249</v>
      </c>
      <c r="E284" s="365">
        <f>(H96*C96)/D96</f>
        <v>0.2080083203328133</v>
      </c>
      <c r="F284" s="366">
        <f t="shared" si="1"/>
        <v>0.78604300241373815</v>
      </c>
      <c r="G284" s="2"/>
      <c r="H284" s="2"/>
      <c r="I284" s="2"/>
    </row>
    <row r="285" spans="1:9" x14ac:dyDescent="0.25">
      <c r="A285" s="2"/>
      <c r="B285" s="2"/>
      <c r="C285" s="6"/>
      <c r="D285" s="367"/>
      <c r="E285" s="368"/>
      <c r="F285" s="367"/>
      <c r="G285" s="2"/>
      <c r="H285" s="2"/>
      <c r="I285" s="2"/>
    </row>
    <row r="286" spans="1:9" x14ac:dyDescent="0.25">
      <c r="A286" s="2"/>
      <c r="B286" s="2"/>
      <c r="C286" s="6"/>
      <c r="D286" s="367"/>
      <c r="E286" s="368"/>
      <c r="F286" s="367"/>
      <c r="G286" s="2"/>
      <c r="H286" s="2"/>
      <c r="I286" s="2"/>
    </row>
    <row r="287" spans="1:9" x14ac:dyDescent="0.25">
      <c r="A287" s="2"/>
      <c r="B287" s="2"/>
      <c r="C287" s="6"/>
      <c r="D287" s="367"/>
      <c r="E287" s="368"/>
      <c r="F287" s="367"/>
      <c r="G287" s="2"/>
      <c r="H287" s="2"/>
      <c r="I287" s="2"/>
    </row>
    <row r="288" spans="1:9" ht="15.75" x14ac:dyDescent="0.25">
      <c r="A288" s="738" t="s">
        <v>595</v>
      </c>
      <c r="B288" s="738"/>
      <c r="C288" s="738"/>
      <c r="D288" s="738"/>
      <c r="E288" s="2"/>
      <c r="F288" s="2"/>
      <c r="G288" s="2"/>
      <c r="H288" s="2"/>
      <c r="I288" s="2"/>
    </row>
    <row r="289" spans="1:17" x14ac:dyDescent="0.25">
      <c r="A289" s="2"/>
      <c r="B289" s="2"/>
      <c r="C289" s="2"/>
      <c r="D289" s="2"/>
      <c r="E289" s="2"/>
      <c r="F289" s="2"/>
      <c r="G289" s="2"/>
      <c r="H289" s="2"/>
      <c r="I289" s="2"/>
    </row>
    <row r="290" spans="1:17" ht="15.75" x14ac:dyDescent="0.25">
      <c r="A290" s="153"/>
      <c r="B290" s="153"/>
      <c r="C290" s="153"/>
      <c r="D290" s="153"/>
      <c r="E290" s="2"/>
      <c r="F290" s="2"/>
      <c r="G290" s="2"/>
      <c r="H290" s="2"/>
      <c r="I290" s="2"/>
    </row>
    <row r="291" spans="1:17" ht="15.75" customHeight="1" x14ac:dyDescent="0.25">
      <c r="A291" s="2"/>
      <c r="B291" s="2"/>
      <c r="C291" s="455" t="s">
        <v>171</v>
      </c>
      <c r="D291" s="455"/>
      <c r="E291" s="456" t="str">
        <f>IF(D144="SI","MAYOR A 50 UIT",IF(AND(D144="NO"),"MENOR A 50 UIT"))</f>
        <v>MAYOR A 50 UIT</v>
      </c>
      <c r="F291" s="456"/>
      <c r="G291" s="31"/>
      <c r="H291" s="31"/>
      <c r="I291" s="31"/>
      <c r="J291" s="154"/>
    </row>
    <row r="292" spans="1:17" ht="15.75" customHeight="1" x14ac:dyDescent="0.25">
      <c r="A292" s="2"/>
      <c r="B292" s="2"/>
      <c r="C292" s="455" t="s">
        <v>172</v>
      </c>
      <c r="D292" s="455"/>
      <c r="E292" s="6" t="str">
        <f>IF(E110="Incluido IGV","INCLUIDO IGV",IF(AND(E110="Sin IGV"),"SIN IGV"))</f>
        <v>SIN IGV</v>
      </c>
      <c r="F292" s="25"/>
      <c r="G292" s="2"/>
      <c r="H292" s="2"/>
      <c r="I292" s="2"/>
      <c r="K292" s="154"/>
      <c r="L292" s="154"/>
    </row>
    <row r="293" spans="1:17" ht="15.75" customHeight="1" x14ac:dyDescent="0.25">
      <c r="A293" s="2"/>
      <c r="B293" s="2"/>
      <c r="C293" s="77"/>
      <c r="D293" s="77"/>
      <c r="E293" s="4"/>
      <c r="F293" s="2"/>
      <c r="G293" s="2"/>
      <c r="H293" s="2"/>
      <c r="I293" s="2"/>
    </row>
    <row r="294" spans="1:17" ht="15.75" x14ac:dyDescent="0.25">
      <c r="A294" s="2"/>
      <c r="B294" s="2"/>
      <c r="C294" s="32" t="s">
        <v>58</v>
      </c>
      <c r="D294" s="76" t="s">
        <v>314</v>
      </c>
      <c r="E294" s="2"/>
      <c r="F294" s="77"/>
      <c r="G294" s="77" t="s">
        <v>59</v>
      </c>
      <c r="H294" s="78">
        <f>H297+H302+H307</f>
        <v>72.989456582668126</v>
      </c>
      <c r="I294" s="2"/>
    </row>
    <row r="295" spans="1:17" x14ac:dyDescent="0.25">
      <c r="A295" s="497"/>
      <c r="B295" s="497"/>
      <c r="C295" s="26" t="s">
        <v>60</v>
      </c>
      <c r="D295" s="26" t="s">
        <v>61</v>
      </c>
      <c r="E295" s="26" t="s">
        <v>62</v>
      </c>
      <c r="F295" s="26" t="s">
        <v>63</v>
      </c>
      <c r="G295" s="497" t="s">
        <v>64</v>
      </c>
      <c r="H295" s="497"/>
      <c r="I295" s="2"/>
    </row>
    <row r="296" spans="1:17" x14ac:dyDescent="0.25">
      <c r="A296" s="470" t="s">
        <v>65</v>
      </c>
      <c r="B296" s="470"/>
      <c r="C296" s="470"/>
      <c r="D296" s="470"/>
      <c r="E296" s="470"/>
      <c r="F296" s="470"/>
      <c r="G296" s="498"/>
      <c r="H296" s="498"/>
      <c r="I296" s="2"/>
      <c r="Q296" s="2"/>
    </row>
    <row r="297" spans="1:17" x14ac:dyDescent="0.25">
      <c r="A297" s="732" t="s">
        <v>66</v>
      </c>
      <c r="B297" s="732"/>
      <c r="C297" s="11" t="s">
        <v>67</v>
      </c>
      <c r="D297" s="81">
        <f>F281</f>
        <v>0.11560693641618498</v>
      </c>
      <c r="E297" s="12">
        <f>IF(D144="SI",G133,IF(AND(D144="NO"),((E119*1.1)/8)))</f>
        <v>26.646464625</v>
      </c>
      <c r="F297" s="82">
        <f>D297*E297</f>
        <v>3.0805161416184976</v>
      </c>
      <c r="G297" s="473" t="s">
        <v>24</v>
      </c>
      <c r="H297" s="735">
        <f>F297+F298+F299+F300</f>
        <v>44.67110190033786</v>
      </c>
      <c r="I297" s="2"/>
      <c r="Q297" s="2"/>
    </row>
    <row r="298" spans="1:17" x14ac:dyDescent="0.25">
      <c r="A298" s="732" t="s">
        <v>68</v>
      </c>
      <c r="B298" s="732"/>
      <c r="C298" s="11" t="s">
        <v>67</v>
      </c>
      <c r="D298" s="81">
        <f>F282</f>
        <v>1.1560693641618498</v>
      </c>
      <c r="E298" s="12">
        <f>IF(D144="SI",G134,IF(AND(D144="NO"),(E119/8)))</f>
        <v>24.224058749999998</v>
      </c>
      <c r="F298" s="82">
        <f t="shared" ref="F298:F300" si="2">D298*E298</f>
        <v>28.004692196531792</v>
      </c>
      <c r="G298" s="519"/>
      <c r="H298" s="736"/>
      <c r="I298" s="2"/>
      <c r="Q298" s="2"/>
    </row>
    <row r="299" spans="1:17" x14ac:dyDescent="0.25">
      <c r="A299" s="732" t="s">
        <v>69</v>
      </c>
      <c r="B299" s="732"/>
      <c r="C299" s="11" t="s">
        <v>67</v>
      </c>
      <c r="D299" s="81">
        <f>F283</f>
        <v>0</v>
      </c>
      <c r="E299" s="12">
        <f>IF(D144="SI",G135,IF(AND(D144="NO"),(F119/8)))</f>
        <v>19.121340624999998</v>
      </c>
      <c r="F299" s="82">
        <f t="shared" si="2"/>
        <v>0</v>
      </c>
      <c r="G299" s="519"/>
      <c r="H299" s="736"/>
      <c r="I299" s="2"/>
      <c r="Q299" s="2"/>
    </row>
    <row r="300" spans="1:17" x14ac:dyDescent="0.25">
      <c r="A300" s="732" t="s">
        <v>70</v>
      </c>
      <c r="B300" s="732"/>
      <c r="C300" s="11" t="s">
        <v>67</v>
      </c>
      <c r="D300" s="81">
        <f>F284</f>
        <v>0.78604300241373815</v>
      </c>
      <c r="E300" s="12">
        <f>IF(D144="SI",G136,IF(AND(D144="NO"),(G119/8)))</f>
        <v>17.283906249999998</v>
      </c>
      <c r="F300" s="82">
        <f t="shared" si="2"/>
        <v>13.585893562187572</v>
      </c>
      <c r="G300" s="474"/>
      <c r="H300" s="737"/>
      <c r="I300" s="2"/>
    </row>
    <row r="301" spans="1:17" x14ac:dyDescent="0.25">
      <c r="A301" s="470" t="s">
        <v>72</v>
      </c>
      <c r="B301" s="470"/>
      <c r="C301" s="470"/>
      <c r="D301" s="470"/>
      <c r="E301" s="470"/>
      <c r="F301" s="470"/>
      <c r="G301" s="498"/>
      <c r="H301" s="498"/>
      <c r="I301" s="2"/>
    </row>
    <row r="302" spans="1:17" x14ac:dyDescent="0.25">
      <c r="A302" s="732" t="s">
        <v>73</v>
      </c>
      <c r="B302" s="732"/>
      <c r="C302" s="11" t="s">
        <v>74</v>
      </c>
      <c r="D302" s="81">
        <f>E258</f>
        <v>0.1963970341077608</v>
      </c>
      <c r="E302" s="12">
        <f>IF(E110="Incluido IGV",F104,IF(AND(E110="Sin IGV"),H104))</f>
        <v>18.64406779661017</v>
      </c>
      <c r="F302" s="82">
        <f>D302*E302</f>
        <v>3.6616396189582523</v>
      </c>
      <c r="G302" s="473" t="s">
        <v>24</v>
      </c>
      <c r="H302" s="475">
        <f>F302+F303+F304+F305</f>
        <v>26.978221625320124</v>
      </c>
      <c r="I302" s="2"/>
    </row>
    <row r="303" spans="1:17" x14ac:dyDescent="0.25">
      <c r="A303" s="732" t="s">
        <v>267</v>
      </c>
      <c r="B303" s="732"/>
      <c r="C303" s="11" t="s">
        <v>573</v>
      </c>
      <c r="D303" s="81">
        <f>E259</f>
        <v>3.3166386554621861E-2</v>
      </c>
      <c r="E303" s="12">
        <f>IF(E110="Incluido IGV",F105,IF(AND(E110="Sin IGV"),H105))</f>
        <v>50.847457627118644</v>
      </c>
      <c r="F303" s="82">
        <f t="shared" ref="F303:F305" si="3">D303*E303</f>
        <v>1.6864264349807725</v>
      </c>
      <c r="G303" s="519"/>
      <c r="H303" s="733"/>
      <c r="I303" s="2"/>
    </row>
    <row r="304" spans="1:17" x14ac:dyDescent="0.25">
      <c r="A304" s="732" t="s">
        <v>77</v>
      </c>
      <c r="B304" s="732"/>
      <c r="C304" s="11" t="s">
        <v>573</v>
      </c>
      <c r="D304" s="81">
        <f>E260</f>
        <v>6.677499159663868E-3</v>
      </c>
      <c r="E304" s="12">
        <f>IF(E110="Incluido IGV",F106,IF(AND(E110="Sin IGV"),H106))</f>
        <v>4.2372881355932206</v>
      </c>
      <c r="F304" s="82">
        <f t="shared" si="3"/>
        <v>2.8294487964677408E-2</v>
      </c>
      <c r="G304" s="519"/>
      <c r="H304" s="733"/>
      <c r="I304" s="2"/>
    </row>
    <row r="305" spans="1:12" x14ac:dyDescent="0.25">
      <c r="A305" s="732" t="s">
        <v>596</v>
      </c>
      <c r="B305" s="732"/>
      <c r="C305" s="11" t="s">
        <v>597</v>
      </c>
      <c r="D305" s="12">
        <f>E261</f>
        <v>39.215686274509807</v>
      </c>
      <c r="E305" s="12">
        <f>IF(E110="Incluido IGV",(F107/1000),IF(AND(E110="Sin IGV"),(H107/1000)))</f>
        <v>0.55084745762711873</v>
      </c>
      <c r="F305" s="82">
        <f t="shared" si="3"/>
        <v>21.601861083416424</v>
      </c>
      <c r="G305" s="474"/>
      <c r="H305" s="734"/>
      <c r="I305" s="2"/>
    </row>
    <row r="306" spans="1:12" x14ac:dyDescent="0.25">
      <c r="A306" s="470" t="s">
        <v>78</v>
      </c>
      <c r="B306" s="470"/>
      <c r="C306" s="470"/>
      <c r="D306" s="470"/>
      <c r="E306" s="470"/>
      <c r="F306" s="470"/>
      <c r="G306" s="471"/>
      <c r="H306" s="471"/>
      <c r="I306" s="2"/>
    </row>
    <row r="307" spans="1:12" x14ac:dyDescent="0.25">
      <c r="A307" s="729" t="s">
        <v>81</v>
      </c>
      <c r="B307" s="730"/>
      <c r="C307" s="11" t="s">
        <v>82</v>
      </c>
      <c r="D307" s="86">
        <v>0.03</v>
      </c>
      <c r="E307" s="12">
        <f>H297</f>
        <v>44.67110190033786</v>
      </c>
      <c r="F307" s="82">
        <f>D307*E307</f>
        <v>1.3401330570101357</v>
      </c>
      <c r="G307" s="29" t="s">
        <v>24</v>
      </c>
      <c r="H307" s="330">
        <f>F307</f>
        <v>1.3401330570101357</v>
      </c>
      <c r="I307" s="2"/>
    </row>
    <row r="308" spans="1:12" x14ac:dyDescent="0.25">
      <c r="A308" s="2"/>
      <c r="B308" s="2"/>
      <c r="C308" s="2"/>
      <c r="D308" s="2"/>
      <c r="E308" s="2"/>
      <c r="F308" s="2"/>
      <c r="G308" s="2"/>
      <c r="H308" s="2"/>
      <c r="I308" s="2"/>
    </row>
    <row r="309" spans="1:12" x14ac:dyDescent="0.25">
      <c r="A309" s="2"/>
      <c r="B309" s="2"/>
      <c r="C309" s="2"/>
      <c r="D309" s="2"/>
      <c r="E309" s="2"/>
      <c r="F309" s="2"/>
      <c r="G309" s="2"/>
      <c r="H309" s="2"/>
      <c r="I309" s="2"/>
    </row>
    <row r="310" spans="1:12" x14ac:dyDescent="0.25">
      <c r="A310" s="2"/>
      <c r="B310" s="2"/>
      <c r="C310" s="2"/>
      <c r="D310" s="2"/>
      <c r="E310" s="2"/>
      <c r="F310" s="2"/>
      <c r="G310" s="2"/>
      <c r="H310" s="2"/>
      <c r="I310" s="2"/>
    </row>
    <row r="311" spans="1:12" ht="14.25" customHeight="1" x14ac:dyDescent="0.25">
      <c r="A311" s="731" t="s">
        <v>598</v>
      </c>
      <c r="B311" s="731"/>
      <c r="C311" s="731"/>
      <c r="D311" s="731"/>
      <c r="E311" s="316"/>
      <c r="F311" s="2"/>
      <c r="G311" s="2"/>
      <c r="H311" s="2"/>
      <c r="I311" s="2"/>
    </row>
    <row r="312" spans="1:12" ht="14.25" customHeight="1" x14ac:dyDescent="0.25">
      <c r="A312" s="369"/>
      <c r="B312" s="369"/>
      <c r="C312" s="369"/>
      <c r="D312" s="369"/>
      <c r="E312" s="369"/>
      <c r="F312" s="2"/>
      <c r="G312" s="2"/>
      <c r="H312" s="2"/>
      <c r="I312" s="2"/>
    </row>
    <row r="313" spans="1:12" x14ac:dyDescent="0.25">
      <c r="A313" s="2"/>
      <c r="B313" s="2"/>
      <c r="C313" s="43" t="s">
        <v>599</v>
      </c>
      <c r="D313" s="49"/>
      <c r="E313" s="46">
        <f>G155</f>
        <v>120</v>
      </c>
      <c r="F313" s="359" t="s">
        <v>600</v>
      </c>
      <c r="G313" s="2"/>
      <c r="H313" s="2"/>
      <c r="I313" s="2"/>
    </row>
    <row r="314" spans="1:12" x14ac:dyDescent="0.25">
      <c r="A314" s="2"/>
      <c r="B314" s="2"/>
      <c r="C314" s="43" t="s">
        <v>601</v>
      </c>
      <c r="D314" s="49"/>
      <c r="E314" s="46">
        <f>H294</f>
        <v>72.989456582668126</v>
      </c>
      <c r="F314" s="45" t="s">
        <v>602</v>
      </c>
      <c r="G314" s="2"/>
      <c r="H314" s="2"/>
      <c r="I314" s="2"/>
    </row>
    <row r="315" spans="1:12" x14ac:dyDescent="0.25">
      <c r="A315" s="2"/>
      <c r="B315" s="2"/>
      <c r="C315" s="25"/>
      <c r="D315" s="2"/>
      <c r="E315" s="175"/>
      <c r="F315" s="25"/>
      <c r="G315" s="2"/>
      <c r="H315" s="2"/>
      <c r="I315" s="2"/>
    </row>
    <row r="316" spans="1:12" ht="15.75" customHeight="1" x14ac:dyDescent="0.25">
      <c r="A316" s="2"/>
      <c r="B316" s="2"/>
      <c r="C316" s="455" t="s">
        <v>171</v>
      </c>
      <c r="D316" s="455"/>
      <c r="E316" s="456" t="str">
        <f>E291</f>
        <v>MAYOR A 50 UIT</v>
      </c>
      <c r="F316" s="456"/>
      <c r="G316" s="31"/>
      <c r="H316" s="31"/>
      <c r="I316" s="31"/>
      <c r="J316" s="154"/>
    </row>
    <row r="317" spans="1:12" ht="15.75" customHeight="1" x14ac:dyDescent="0.25">
      <c r="A317" s="2"/>
      <c r="B317" s="2"/>
      <c r="C317" s="455" t="s">
        <v>172</v>
      </c>
      <c r="D317" s="455"/>
      <c r="E317" s="6" t="str">
        <f>E292</f>
        <v>SIN IGV</v>
      </c>
      <c r="F317" s="25"/>
      <c r="G317" s="2"/>
      <c r="H317" s="2"/>
      <c r="I317" s="2"/>
      <c r="K317" s="154"/>
      <c r="L317" s="154"/>
    </row>
    <row r="318" spans="1:12" x14ac:dyDescent="0.25">
      <c r="A318" s="22"/>
      <c r="B318" s="2"/>
      <c r="C318" s="2"/>
      <c r="D318" s="2"/>
      <c r="E318" s="2"/>
      <c r="F318" s="2"/>
      <c r="G318" s="2"/>
      <c r="H318" s="2"/>
      <c r="I318" s="2"/>
    </row>
    <row r="319" spans="1:12" ht="15" customHeight="1" x14ac:dyDescent="0.25">
      <c r="A319" s="2"/>
      <c r="B319" s="717" t="s">
        <v>603</v>
      </c>
      <c r="C319" s="717"/>
      <c r="D319" s="717"/>
      <c r="E319" s="504" t="s">
        <v>604</v>
      </c>
      <c r="F319" s="504" t="s">
        <v>84</v>
      </c>
      <c r="G319" s="458" t="s">
        <v>85</v>
      </c>
      <c r="H319" s="459"/>
      <c r="I319" s="2"/>
    </row>
    <row r="320" spans="1:12" x14ac:dyDescent="0.25">
      <c r="A320" s="2"/>
      <c r="B320" s="722"/>
      <c r="C320" s="722"/>
      <c r="D320" s="722"/>
      <c r="E320" s="504"/>
      <c r="F320" s="504"/>
      <c r="G320" s="616"/>
      <c r="H320" s="617"/>
      <c r="I320" s="2"/>
    </row>
    <row r="321" spans="1:12" x14ac:dyDescent="0.25">
      <c r="A321" s="2"/>
      <c r="B321" s="723" t="s">
        <v>605</v>
      </c>
      <c r="C321" s="724"/>
      <c r="D321" s="370" t="str">
        <f>D69</f>
        <v>King Kong</v>
      </c>
      <c r="E321" s="463">
        <f>E313</f>
        <v>120</v>
      </c>
      <c r="F321" s="466">
        <f>E314</f>
        <v>72.989456582668126</v>
      </c>
      <c r="G321" s="485" t="s">
        <v>24</v>
      </c>
      <c r="H321" s="488">
        <f>E321*F321</f>
        <v>8758.7347899201759</v>
      </c>
      <c r="I321" s="2"/>
    </row>
    <row r="322" spans="1:12" x14ac:dyDescent="0.25">
      <c r="A322" s="2"/>
      <c r="B322" s="727" t="s">
        <v>606</v>
      </c>
      <c r="C322" s="728"/>
      <c r="D322" s="371" t="str">
        <f>D78</f>
        <v>soga</v>
      </c>
      <c r="E322" s="725"/>
      <c r="F322" s="467"/>
      <c r="G322" s="486"/>
      <c r="H322" s="489"/>
      <c r="I322" s="2"/>
    </row>
    <row r="323" spans="1:12" x14ac:dyDescent="0.25">
      <c r="A323" s="2"/>
      <c r="B323" s="718" t="s">
        <v>607</v>
      </c>
      <c r="C323" s="719"/>
      <c r="D323" s="372" t="str">
        <f>E81</f>
        <v>1:5</v>
      </c>
      <c r="E323" s="726"/>
      <c r="F323" s="468"/>
      <c r="G323" s="487"/>
      <c r="H323" s="490"/>
      <c r="I323" s="2"/>
    </row>
    <row r="324" spans="1:12" x14ac:dyDescent="0.25">
      <c r="A324" s="2"/>
      <c r="B324" s="622" t="s">
        <v>608</v>
      </c>
      <c r="C324" s="623"/>
      <c r="D324" s="623"/>
      <c r="E324" s="623"/>
      <c r="F324" s="624"/>
      <c r="G324" s="618" t="s">
        <v>24</v>
      </c>
      <c r="H324" s="620">
        <f>H315+H318+H321</f>
        <v>8758.7347899201759</v>
      </c>
      <c r="I324" s="2"/>
    </row>
    <row r="325" spans="1:12" x14ac:dyDescent="0.25">
      <c r="A325" s="2"/>
      <c r="B325" s="87"/>
      <c r="C325" s="720" t="s">
        <v>400</v>
      </c>
      <c r="D325" s="720"/>
      <c r="E325" s="90" t="str">
        <f>E110</f>
        <v>Sin IGV</v>
      </c>
      <c r="F325" s="91"/>
      <c r="G325" s="619"/>
      <c r="H325" s="621"/>
      <c r="I325" s="2"/>
    </row>
    <row r="326" spans="1:12" x14ac:dyDescent="0.25">
      <c r="A326" s="2"/>
      <c r="B326" s="2"/>
      <c r="C326" s="25"/>
      <c r="D326" s="2"/>
      <c r="E326" s="175"/>
      <c r="F326" s="25"/>
      <c r="G326" s="2"/>
      <c r="H326" s="2"/>
      <c r="I326" s="2"/>
    </row>
    <row r="327" spans="1:12" x14ac:dyDescent="0.25">
      <c r="A327" s="2"/>
      <c r="B327" s="2"/>
      <c r="C327" s="25"/>
      <c r="D327" s="2"/>
      <c r="E327" s="175"/>
      <c r="F327" s="25"/>
      <c r="G327" s="2"/>
      <c r="H327" s="2"/>
      <c r="I327" s="2"/>
    </row>
    <row r="328" spans="1:12" ht="14.25" customHeight="1" x14ac:dyDescent="0.25">
      <c r="A328" s="721" t="s">
        <v>609</v>
      </c>
      <c r="B328" s="721"/>
      <c r="C328" s="721"/>
      <c r="D328" s="721"/>
      <c r="E328" s="721"/>
      <c r="F328" s="2"/>
      <c r="G328" s="2"/>
      <c r="H328" s="2"/>
      <c r="I328" s="2"/>
    </row>
    <row r="329" spans="1:12" ht="15.75" x14ac:dyDescent="0.25">
      <c r="A329" s="5"/>
      <c r="B329" s="2"/>
      <c r="C329" s="25"/>
      <c r="D329" s="2"/>
      <c r="E329" s="175"/>
      <c r="F329" s="25"/>
      <c r="G329" s="2"/>
      <c r="H329" s="2"/>
      <c r="I329" s="2"/>
    </row>
    <row r="330" spans="1:12" ht="15.75" customHeight="1" x14ac:dyDescent="0.25">
      <c r="A330" s="2"/>
      <c r="B330" s="2"/>
      <c r="C330" s="455" t="s">
        <v>171</v>
      </c>
      <c r="D330" s="455"/>
      <c r="E330" s="456" t="str">
        <f>E316</f>
        <v>MAYOR A 50 UIT</v>
      </c>
      <c r="F330" s="456"/>
      <c r="G330" s="31"/>
      <c r="H330" s="31"/>
      <c r="I330" s="31"/>
      <c r="J330" s="154"/>
    </row>
    <row r="331" spans="1:12" ht="15.75" customHeight="1" x14ac:dyDescent="0.25">
      <c r="A331" s="2"/>
      <c r="B331" s="2"/>
      <c r="C331" s="455" t="s">
        <v>172</v>
      </c>
      <c r="D331" s="455"/>
      <c r="E331" s="6" t="str">
        <f>E317</f>
        <v>SIN IGV</v>
      </c>
      <c r="F331" s="25"/>
      <c r="G331" s="2"/>
      <c r="H331" s="2"/>
      <c r="I331" s="2"/>
      <c r="K331" s="154"/>
      <c r="L331" s="154"/>
    </row>
    <row r="332" spans="1:12" ht="15.75" x14ac:dyDescent="0.25">
      <c r="A332" s="5"/>
      <c r="B332" s="2"/>
      <c r="C332" s="25"/>
      <c r="D332" s="2"/>
      <c r="E332" s="175"/>
      <c r="F332" s="25"/>
      <c r="G332" s="2"/>
      <c r="H332" s="2"/>
      <c r="I332" s="2"/>
    </row>
    <row r="333" spans="1:12" ht="15" customHeight="1" x14ac:dyDescent="0.25">
      <c r="A333" s="2"/>
      <c r="B333" s="2"/>
      <c r="C333" s="717" t="s">
        <v>72</v>
      </c>
      <c r="D333" s="717"/>
      <c r="E333" s="458" t="s">
        <v>610</v>
      </c>
      <c r="F333" s="459"/>
      <c r="G333" s="2"/>
      <c r="H333" s="2"/>
      <c r="I333" s="2"/>
    </row>
    <row r="334" spans="1:12" x14ac:dyDescent="0.25">
      <c r="A334" s="2"/>
      <c r="B334" s="2"/>
      <c r="C334" s="446" t="s">
        <v>39</v>
      </c>
      <c r="D334" s="447"/>
      <c r="E334" s="373">
        <f>E266</f>
        <v>23.567644092931296</v>
      </c>
      <c r="F334" s="93" t="s">
        <v>35</v>
      </c>
      <c r="G334" s="2"/>
      <c r="H334" s="2"/>
      <c r="I334" s="2"/>
    </row>
    <row r="335" spans="1:12" ht="15.75" x14ac:dyDescent="0.25">
      <c r="A335" s="2"/>
      <c r="B335" s="2"/>
      <c r="C335" s="446" t="s">
        <v>585</v>
      </c>
      <c r="D335" s="447"/>
      <c r="E335" s="373">
        <f>E267</f>
        <v>3.9799663865546235</v>
      </c>
      <c r="F335" s="93" t="s">
        <v>88</v>
      </c>
      <c r="G335" s="2"/>
      <c r="H335" s="2"/>
      <c r="I335" s="2"/>
    </row>
    <row r="336" spans="1:12" ht="15.75" x14ac:dyDescent="0.25">
      <c r="A336" s="2"/>
      <c r="B336" s="2"/>
      <c r="C336" s="446" t="s">
        <v>41</v>
      </c>
      <c r="D336" s="447"/>
      <c r="E336" s="374">
        <f>E268</f>
        <v>0.80129989915966415</v>
      </c>
      <c r="F336" s="95" t="s">
        <v>88</v>
      </c>
      <c r="G336" s="2"/>
      <c r="H336" s="375"/>
      <c r="I336" s="2"/>
    </row>
    <row r="337" spans="1:9" x14ac:dyDescent="0.25">
      <c r="A337" s="2"/>
      <c r="B337" s="2"/>
      <c r="C337" s="446" t="s">
        <v>496</v>
      </c>
      <c r="D337" s="447"/>
      <c r="E337" s="376">
        <f>E269</f>
        <v>4705.8823529411766</v>
      </c>
      <c r="F337" s="95" t="s">
        <v>597</v>
      </c>
      <c r="G337" s="2"/>
      <c r="H337" s="2"/>
      <c r="I337" s="2"/>
    </row>
    <row r="338" spans="1:9" ht="15" customHeight="1" x14ac:dyDescent="0.25">
      <c r="A338" s="2"/>
      <c r="B338" s="2"/>
      <c r="C338" s="717" t="s">
        <v>65</v>
      </c>
      <c r="D338" s="717"/>
      <c r="E338" s="458" t="s">
        <v>610</v>
      </c>
      <c r="F338" s="459"/>
      <c r="G338" s="2"/>
      <c r="H338" s="2"/>
      <c r="I338" s="2"/>
    </row>
    <row r="339" spans="1:9" x14ac:dyDescent="0.25">
      <c r="A339" s="2"/>
      <c r="B339" s="2"/>
      <c r="C339" s="446" t="s">
        <v>11</v>
      </c>
      <c r="D339" s="447"/>
      <c r="E339" s="373">
        <f>F281*E321</f>
        <v>13.872832369942198</v>
      </c>
      <c r="F339" s="157" t="s">
        <v>177</v>
      </c>
      <c r="G339" s="2"/>
      <c r="H339" s="2"/>
      <c r="I339" s="2"/>
    </row>
    <row r="340" spans="1:9" x14ac:dyDescent="0.25">
      <c r="A340" s="2"/>
      <c r="B340" s="2"/>
      <c r="C340" s="446" t="s">
        <v>12</v>
      </c>
      <c r="D340" s="447"/>
      <c r="E340" s="373">
        <f>F282*E321</f>
        <v>138.72832369942196</v>
      </c>
      <c r="F340" s="157" t="s">
        <v>177</v>
      </c>
      <c r="G340" s="2"/>
      <c r="H340" s="2"/>
      <c r="I340" s="2"/>
    </row>
    <row r="341" spans="1:9" x14ac:dyDescent="0.25">
      <c r="A341" s="2"/>
      <c r="B341" s="2"/>
      <c r="C341" s="446" t="s">
        <v>13</v>
      </c>
      <c r="D341" s="447"/>
      <c r="E341" s="373">
        <f>F283*E321</f>
        <v>0</v>
      </c>
      <c r="F341" s="157" t="s">
        <v>177</v>
      </c>
      <c r="G341" s="2"/>
      <c r="H341" s="2"/>
      <c r="I341" s="2"/>
    </row>
    <row r="342" spans="1:9" x14ac:dyDescent="0.25">
      <c r="A342" s="2"/>
      <c r="B342" s="2"/>
      <c r="C342" s="446" t="s">
        <v>14</v>
      </c>
      <c r="D342" s="447"/>
      <c r="E342" s="156">
        <f>F284*E321</f>
        <v>94.325160289648579</v>
      </c>
      <c r="F342" s="157" t="s">
        <v>177</v>
      </c>
      <c r="G342" s="2"/>
      <c r="H342" s="2"/>
      <c r="I342" s="2"/>
    </row>
    <row r="343" spans="1:9" x14ac:dyDescent="0.25">
      <c r="A343" s="2"/>
      <c r="B343" s="2"/>
      <c r="C343" s="2"/>
      <c r="D343" s="2"/>
      <c r="E343" s="2"/>
      <c r="F343" s="2"/>
      <c r="G343" s="2"/>
      <c r="H343" s="2"/>
      <c r="I343" s="2"/>
    </row>
    <row r="344" spans="1:9" x14ac:dyDescent="0.25">
      <c r="A344" s="2"/>
      <c r="B344" s="2"/>
      <c r="C344" s="2"/>
      <c r="D344" s="2"/>
      <c r="E344" s="2"/>
      <c r="F344" s="2"/>
      <c r="G344" s="2"/>
      <c r="H344" s="2"/>
      <c r="I344" s="2"/>
    </row>
    <row r="346" spans="1:9" x14ac:dyDescent="0.25">
      <c r="G346" s="54"/>
    </row>
  </sheetData>
  <mergeCells count="117">
    <mergeCell ref="B92:H92"/>
    <mergeCell ref="B93:B94"/>
    <mergeCell ref="C93:C94"/>
    <mergeCell ref="D93:D94"/>
    <mergeCell ref="E93:H93"/>
    <mergeCell ref="D99:G99"/>
    <mergeCell ref="B1:G2"/>
    <mergeCell ref="A14:E14"/>
    <mergeCell ref="B69:B70"/>
    <mergeCell ref="C77:C78"/>
    <mergeCell ref="B82:B83"/>
    <mergeCell ref="B87:B88"/>
    <mergeCell ref="B106:C106"/>
    <mergeCell ref="B107:C107"/>
    <mergeCell ref="B110:D110"/>
    <mergeCell ref="F110:G111"/>
    <mergeCell ref="B116:G116"/>
    <mergeCell ref="B117:G117"/>
    <mergeCell ref="D100:G100"/>
    <mergeCell ref="B103:C103"/>
    <mergeCell ref="E103:F103"/>
    <mergeCell ref="G103:H103"/>
    <mergeCell ref="B104:C104"/>
    <mergeCell ref="B105:C105"/>
    <mergeCell ref="B127:D127"/>
    <mergeCell ref="B128:D128"/>
    <mergeCell ref="B129:D129"/>
    <mergeCell ref="B130:D130"/>
    <mergeCell ref="B132:G132"/>
    <mergeCell ref="B138:D138"/>
    <mergeCell ref="B118:D118"/>
    <mergeCell ref="B119:D119"/>
    <mergeCell ref="B120:D120"/>
    <mergeCell ref="B124:C124"/>
    <mergeCell ref="B125:C125"/>
    <mergeCell ref="B126:D126"/>
    <mergeCell ref="A159:C159"/>
    <mergeCell ref="C171:D171"/>
    <mergeCell ref="B185:G185"/>
    <mergeCell ref="E201:E202"/>
    <mergeCell ref="F201:F202"/>
    <mergeCell ref="B202:C202"/>
    <mergeCell ref="B139:D139"/>
    <mergeCell ref="B140:G140"/>
    <mergeCell ref="B144:C144"/>
    <mergeCell ref="E144:F145"/>
    <mergeCell ref="G150:H152"/>
    <mergeCell ref="A155:C155"/>
    <mergeCell ref="D155:F156"/>
    <mergeCell ref="G155:G156"/>
    <mergeCell ref="H155:H156"/>
    <mergeCell ref="C279:C280"/>
    <mergeCell ref="D279:E279"/>
    <mergeCell ref="F279:F280"/>
    <mergeCell ref="A288:D288"/>
    <mergeCell ref="C291:D291"/>
    <mergeCell ref="E291:F291"/>
    <mergeCell ref="C212:D212"/>
    <mergeCell ref="B214:G214"/>
    <mergeCell ref="C216:D216"/>
    <mergeCell ref="C229:C230"/>
    <mergeCell ref="D229:F229"/>
    <mergeCell ref="A273:C273"/>
    <mergeCell ref="C292:D292"/>
    <mergeCell ref="A295:B295"/>
    <mergeCell ref="G295:H295"/>
    <mergeCell ref="A296:H296"/>
    <mergeCell ref="A297:B297"/>
    <mergeCell ref="G297:G300"/>
    <mergeCell ref="H297:H300"/>
    <mergeCell ref="A298:B298"/>
    <mergeCell ref="A299:B299"/>
    <mergeCell ref="A300:B300"/>
    <mergeCell ref="A306:H306"/>
    <mergeCell ref="A307:B307"/>
    <mergeCell ref="A311:D311"/>
    <mergeCell ref="C316:D316"/>
    <mergeCell ref="E316:F316"/>
    <mergeCell ref="C317:D317"/>
    <mergeCell ref="A301:H301"/>
    <mergeCell ref="A302:B302"/>
    <mergeCell ref="G302:G305"/>
    <mergeCell ref="H302:H305"/>
    <mergeCell ref="A303:B303"/>
    <mergeCell ref="A304:B304"/>
    <mergeCell ref="A305:B305"/>
    <mergeCell ref="H324:H325"/>
    <mergeCell ref="C325:D325"/>
    <mergeCell ref="A328:E328"/>
    <mergeCell ref="B319:D320"/>
    <mergeCell ref="E319:E320"/>
    <mergeCell ref="F319:F320"/>
    <mergeCell ref="G319:H320"/>
    <mergeCell ref="B321:C321"/>
    <mergeCell ref="E321:E323"/>
    <mergeCell ref="F321:F323"/>
    <mergeCell ref="G321:G323"/>
    <mergeCell ref="H321:H323"/>
    <mergeCell ref="B322:C322"/>
    <mergeCell ref="C330:D330"/>
    <mergeCell ref="E330:F330"/>
    <mergeCell ref="C331:D331"/>
    <mergeCell ref="C333:D333"/>
    <mergeCell ref="E333:F333"/>
    <mergeCell ref="C334:D334"/>
    <mergeCell ref="B323:C323"/>
    <mergeCell ref="B324:F324"/>
    <mergeCell ref="G324:G325"/>
    <mergeCell ref="C340:D340"/>
    <mergeCell ref="C341:D341"/>
    <mergeCell ref="C342:D342"/>
    <mergeCell ref="C335:D335"/>
    <mergeCell ref="C336:D336"/>
    <mergeCell ref="C337:D337"/>
    <mergeCell ref="C338:D338"/>
    <mergeCell ref="E338:F338"/>
    <mergeCell ref="C339:D339"/>
  </mergeCells>
  <dataValidations count="5">
    <dataValidation type="list" allowBlank="1" showInputMessage="1" showErrorMessage="1" sqref="D144" xr:uid="{00000000-0002-0000-0300-000000000000}">
      <formula1>$A$142:$A$143</formula1>
    </dataValidation>
    <dataValidation type="list" allowBlank="1" showInputMessage="1" showErrorMessage="1" sqref="E110" xr:uid="{00000000-0002-0000-0300-000001000000}">
      <formula1>$A$108:$A$109</formula1>
    </dataValidation>
    <dataValidation type="list" allowBlank="1" showInputMessage="1" showErrorMessage="1" sqref="E81" xr:uid="{00000000-0002-0000-0300-000002000000}">
      <formula1>$C$231:$C$234</formula1>
    </dataValidation>
    <dataValidation type="list" allowBlank="1" showInputMessage="1" showErrorMessage="1" sqref="D78:D79" xr:uid="{00000000-0002-0000-0300-000003000000}">
      <formula1>$E$76:$G$76</formula1>
    </dataValidation>
    <dataValidation type="list" allowBlank="1" showInputMessage="1" showErrorMessage="1" sqref="D69" xr:uid="{00000000-0002-0000-0300-000004000000}">
      <formula1>$D$65:$D$67</formula1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L361"/>
  <sheetViews>
    <sheetView workbookViewId="0">
      <selection activeCell="J15" sqref="J15"/>
    </sheetView>
  </sheetViews>
  <sheetFormatPr baseColWidth="10" defaultRowHeight="15" x14ac:dyDescent="0.25"/>
  <cols>
    <col min="1" max="1" width="7.7109375" customWidth="1"/>
    <col min="3" max="4" width="11.85546875" customWidth="1"/>
    <col min="5" max="5" width="13.42578125" customWidth="1"/>
    <col min="6" max="6" width="13.140625" customWidth="1"/>
    <col min="7" max="7" width="10.5703125" customWidth="1"/>
  </cols>
  <sheetData>
    <row r="1" spans="1:9" ht="15" customHeight="1" x14ac:dyDescent="0.25">
      <c r="A1" s="1"/>
      <c r="B1" s="780" t="s">
        <v>611</v>
      </c>
      <c r="C1" s="781"/>
      <c r="D1" s="781"/>
      <c r="E1" s="781"/>
      <c r="F1" s="781"/>
      <c r="G1" s="782"/>
      <c r="H1" s="2"/>
      <c r="I1" s="2"/>
    </row>
    <row r="2" spans="1:9" ht="15" customHeight="1" thickBot="1" x14ac:dyDescent="0.3">
      <c r="A2" s="3"/>
      <c r="B2" s="783"/>
      <c r="C2" s="784"/>
      <c r="D2" s="784"/>
      <c r="E2" s="784"/>
      <c r="F2" s="784"/>
      <c r="G2" s="785"/>
      <c r="H2" s="2"/>
      <c r="I2" s="2"/>
    </row>
    <row r="3" spans="1:9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x14ac:dyDescent="0.25">
      <c r="A6" s="2"/>
      <c r="B6" s="2"/>
      <c r="C6" s="2"/>
      <c r="D6" s="2"/>
      <c r="E6" s="2"/>
      <c r="F6" s="2"/>
      <c r="G6" s="2"/>
      <c r="H6" s="2"/>
      <c r="I6" s="2"/>
    </row>
    <row r="7" spans="1:9" x14ac:dyDescent="0.25">
      <c r="A7" s="2"/>
      <c r="B7" s="2"/>
      <c r="C7" s="2"/>
      <c r="D7" s="2"/>
      <c r="E7" s="2"/>
      <c r="F7" s="2"/>
      <c r="G7" s="2"/>
      <c r="H7" s="2"/>
      <c r="I7" s="2"/>
    </row>
    <row r="8" spans="1:9" x14ac:dyDescent="0.25">
      <c r="A8" s="2"/>
      <c r="B8" s="2"/>
      <c r="C8" s="2"/>
      <c r="D8" s="2"/>
      <c r="E8" s="2"/>
      <c r="F8" s="2"/>
      <c r="G8" s="2"/>
      <c r="H8" s="2"/>
      <c r="I8" s="2"/>
    </row>
    <row r="9" spans="1:9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x14ac:dyDescent="0.25">
      <c r="A10" s="2"/>
      <c r="B10" s="2"/>
      <c r="C10" s="2"/>
      <c r="D10" s="2"/>
      <c r="E10" s="2"/>
      <c r="F10" s="2"/>
      <c r="G10" s="2"/>
      <c r="H10" s="2"/>
      <c r="I10" s="2"/>
    </row>
    <row r="11" spans="1:9" x14ac:dyDescent="0.25">
      <c r="A11" s="2"/>
      <c r="B11" s="2"/>
      <c r="C11" s="2"/>
      <c r="D11" s="2"/>
      <c r="E11" s="2"/>
      <c r="F11" s="2"/>
      <c r="G11" s="2"/>
      <c r="H11" s="2"/>
      <c r="I11" s="2"/>
    </row>
    <row r="12" spans="1:9" ht="15.75" x14ac:dyDescent="0.25">
      <c r="A12" s="769" t="s">
        <v>0</v>
      </c>
      <c r="B12" s="769"/>
      <c r="C12" s="769"/>
      <c r="D12" s="22"/>
      <c r="E12" s="167" t="s">
        <v>323</v>
      </c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15.75" x14ac:dyDescent="0.25">
      <c r="A14" s="5" t="s">
        <v>1</v>
      </c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6" t="s">
        <v>326</v>
      </c>
      <c r="D16" s="6"/>
      <c r="E16" s="6"/>
      <c r="F16" s="6"/>
      <c r="G16" s="6"/>
      <c r="H16" s="6"/>
      <c r="I16" s="6"/>
    </row>
    <row r="17" spans="1:9" x14ac:dyDescent="0.25">
      <c r="A17" s="2"/>
      <c r="B17" s="2"/>
      <c r="C17" s="505" t="s">
        <v>327</v>
      </c>
      <c r="D17" s="505" t="s">
        <v>2</v>
      </c>
      <c r="E17" s="625" t="s">
        <v>328</v>
      </c>
      <c r="F17" s="626"/>
      <c r="G17" s="627"/>
      <c r="H17" s="2"/>
      <c r="I17" s="2"/>
    </row>
    <row r="18" spans="1:9" ht="15.75" x14ac:dyDescent="0.25">
      <c r="A18" s="2"/>
      <c r="B18" s="2"/>
      <c r="C18" s="506"/>
      <c r="D18" s="506"/>
      <c r="E18" s="26" t="s">
        <v>329</v>
      </c>
      <c r="F18" s="26" t="s">
        <v>330</v>
      </c>
      <c r="G18" s="26" t="s">
        <v>3</v>
      </c>
      <c r="H18" s="2"/>
      <c r="I18" s="2"/>
    </row>
    <row r="19" spans="1:9" ht="15" customHeight="1" x14ac:dyDescent="0.25">
      <c r="A19" s="7"/>
      <c r="B19" s="628" t="s">
        <v>612</v>
      </c>
      <c r="C19" s="8" t="s">
        <v>331</v>
      </c>
      <c r="D19" s="9">
        <v>0.8</v>
      </c>
      <c r="E19" s="10">
        <v>5</v>
      </c>
      <c r="F19" s="11">
        <v>1.1299999999999999</v>
      </c>
      <c r="G19" s="11">
        <v>0.17</v>
      </c>
      <c r="H19" s="2"/>
      <c r="I19" s="2"/>
    </row>
    <row r="20" spans="1:9" ht="15" customHeight="1" x14ac:dyDescent="0.25">
      <c r="A20" s="7"/>
      <c r="B20" s="628"/>
      <c r="C20" s="8" t="s">
        <v>332</v>
      </c>
      <c r="D20" s="9">
        <v>0.8</v>
      </c>
      <c r="E20" s="11">
        <v>4.5999999999999996</v>
      </c>
      <c r="F20" s="12">
        <v>1.1599999999999999</v>
      </c>
      <c r="G20" s="11">
        <v>0.16</v>
      </c>
      <c r="H20" s="2"/>
      <c r="I20" s="2"/>
    </row>
    <row r="21" spans="1:9" x14ac:dyDescent="0.25">
      <c r="A21" s="7"/>
      <c r="B21" s="628"/>
      <c r="C21" s="8" t="s">
        <v>333</v>
      </c>
      <c r="D21" s="9">
        <v>0.8</v>
      </c>
      <c r="E21" s="11">
        <v>4.2</v>
      </c>
      <c r="F21" s="11">
        <v>1.19</v>
      </c>
      <c r="G21" s="11">
        <v>0.14000000000000001</v>
      </c>
      <c r="H21" s="2"/>
      <c r="I21" s="2"/>
    </row>
    <row r="22" spans="1:9" x14ac:dyDescent="0.25">
      <c r="A22" s="7"/>
      <c r="B22" s="628"/>
      <c r="C22" s="8" t="s">
        <v>334</v>
      </c>
      <c r="D22" s="9">
        <v>0.8</v>
      </c>
      <c r="E22" s="11">
        <v>3.6</v>
      </c>
      <c r="F22" s="11">
        <v>1.23</v>
      </c>
      <c r="G22" s="11">
        <v>0.12</v>
      </c>
      <c r="H22" s="2"/>
      <c r="I22" s="2"/>
    </row>
    <row r="23" spans="1:9" x14ac:dyDescent="0.25">
      <c r="A23" s="7"/>
      <c r="B23" s="7"/>
      <c r="C23" s="31"/>
      <c r="D23" s="13"/>
      <c r="E23" s="14"/>
      <c r="F23" s="2"/>
      <c r="G23" s="2"/>
      <c r="H23" s="2"/>
      <c r="I23" s="2"/>
    </row>
    <row r="24" spans="1:9" x14ac:dyDescent="0.25">
      <c r="A24" s="15"/>
      <c r="B24" s="7"/>
      <c r="C24" s="2" t="s">
        <v>335</v>
      </c>
      <c r="D24" s="2"/>
      <c r="E24" s="2"/>
      <c r="F24" s="16" t="s">
        <v>331</v>
      </c>
      <c r="G24" s="108" t="s">
        <v>336</v>
      </c>
      <c r="H24" s="2"/>
      <c r="I24" s="2"/>
    </row>
    <row r="25" spans="1:9" x14ac:dyDescent="0.25">
      <c r="A25" s="2"/>
      <c r="B25" s="7"/>
      <c r="C25" s="2" t="s">
        <v>613</v>
      </c>
      <c r="D25" s="2"/>
      <c r="E25" s="2"/>
      <c r="F25" s="17">
        <v>10</v>
      </c>
      <c r="G25" s="2" t="s">
        <v>337</v>
      </c>
      <c r="H25" s="2"/>
      <c r="I25" s="2"/>
    </row>
    <row r="26" spans="1:9" x14ac:dyDescent="0.25">
      <c r="A26" s="2"/>
      <c r="B26" s="18"/>
      <c r="C26" s="2"/>
      <c r="D26" s="2"/>
      <c r="E26" s="19"/>
      <c r="F26" s="2"/>
      <c r="G26" s="2"/>
      <c r="H26" s="2"/>
      <c r="I26" s="2"/>
    </row>
    <row r="27" spans="1:9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25">
      <c r="A29" s="2"/>
      <c r="B29" s="2"/>
      <c r="C29" s="456" t="s">
        <v>614</v>
      </c>
      <c r="D29" s="456"/>
      <c r="E29" s="456"/>
      <c r="F29" s="456"/>
      <c r="G29" s="456"/>
      <c r="H29" s="456"/>
      <c r="I29" s="2"/>
    </row>
    <row r="30" spans="1:9" x14ac:dyDescent="0.25">
      <c r="A30" s="2"/>
      <c r="B30" s="2"/>
      <c r="C30" s="505" t="s">
        <v>564</v>
      </c>
      <c r="D30" s="505" t="s">
        <v>2</v>
      </c>
      <c r="E30" s="625" t="s">
        <v>615</v>
      </c>
      <c r="F30" s="626"/>
      <c r="G30" s="627"/>
      <c r="H30" s="2"/>
      <c r="I30" s="2"/>
    </row>
    <row r="31" spans="1:9" ht="15.75" x14ac:dyDescent="0.25">
      <c r="A31" s="2"/>
      <c r="B31" s="2"/>
      <c r="C31" s="506"/>
      <c r="D31" s="506"/>
      <c r="E31" s="26" t="s">
        <v>188</v>
      </c>
      <c r="F31" s="26" t="s">
        <v>566</v>
      </c>
      <c r="G31" s="26" t="s">
        <v>567</v>
      </c>
      <c r="H31" s="2"/>
      <c r="I31" s="2"/>
    </row>
    <row r="32" spans="1:9" x14ac:dyDescent="0.25">
      <c r="A32" s="2"/>
      <c r="B32" s="779" t="s">
        <v>616</v>
      </c>
      <c r="C32" s="8" t="s">
        <v>569</v>
      </c>
      <c r="D32" s="110">
        <v>0.72</v>
      </c>
      <c r="E32" s="11">
        <v>8.9</v>
      </c>
      <c r="F32" s="12">
        <v>1</v>
      </c>
      <c r="G32" s="11">
        <v>272</v>
      </c>
      <c r="H32" s="2"/>
      <c r="I32" s="2"/>
    </row>
    <row r="33" spans="1:10" x14ac:dyDescent="0.25">
      <c r="A33" s="2"/>
      <c r="B33" s="779"/>
      <c r="C33" s="8" t="s">
        <v>506</v>
      </c>
      <c r="D33" s="110">
        <v>0.85</v>
      </c>
      <c r="E33" s="11">
        <v>7.4</v>
      </c>
      <c r="F33" s="11">
        <v>1.05</v>
      </c>
      <c r="G33" s="11">
        <v>268</v>
      </c>
      <c r="H33" s="2"/>
      <c r="I33" s="2"/>
    </row>
    <row r="34" spans="1:10" x14ac:dyDescent="0.25">
      <c r="A34" s="2"/>
      <c r="B34" s="779"/>
      <c r="C34" s="8" t="s">
        <v>570</v>
      </c>
      <c r="D34" s="9">
        <v>1</v>
      </c>
      <c r="E34" s="11">
        <v>6.3</v>
      </c>
      <c r="F34" s="11">
        <v>1.07</v>
      </c>
      <c r="G34" s="11">
        <v>269</v>
      </c>
      <c r="H34" s="2"/>
      <c r="I34" s="2"/>
    </row>
    <row r="35" spans="1:10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10" x14ac:dyDescent="0.25">
      <c r="A36" s="15"/>
      <c r="B36" s="7"/>
      <c r="C36" s="2" t="s">
        <v>617</v>
      </c>
      <c r="D36" s="2"/>
      <c r="E36" s="2"/>
      <c r="F36" s="16" t="s">
        <v>506</v>
      </c>
      <c r="G36" s="108" t="s">
        <v>336</v>
      </c>
      <c r="H36" s="2"/>
      <c r="I36" s="2"/>
    </row>
    <row r="37" spans="1:10" x14ac:dyDescent="0.25">
      <c r="A37" s="2"/>
      <c r="B37" s="7"/>
      <c r="C37" s="2" t="s">
        <v>618</v>
      </c>
      <c r="D37" s="2"/>
      <c r="E37" s="2"/>
      <c r="F37" s="17">
        <v>3</v>
      </c>
      <c r="G37" s="2" t="s">
        <v>337</v>
      </c>
      <c r="H37" s="2"/>
      <c r="I37" s="2"/>
    </row>
    <row r="38" spans="1:10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10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10" ht="15" customHeight="1" x14ac:dyDescent="0.25">
      <c r="A40" s="2"/>
      <c r="B40" s="545" t="s">
        <v>4</v>
      </c>
      <c r="C40" s="2" t="s">
        <v>619</v>
      </c>
      <c r="D40" s="2"/>
      <c r="E40" s="2"/>
      <c r="F40" s="20">
        <v>0.05</v>
      </c>
      <c r="G40" s="2"/>
      <c r="H40" s="2"/>
      <c r="I40" s="2"/>
    </row>
    <row r="41" spans="1:10" x14ac:dyDescent="0.25">
      <c r="A41" s="2"/>
      <c r="B41" s="545"/>
      <c r="C41" s="2" t="s">
        <v>620</v>
      </c>
      <c r="D41" s="18"/>
      <c r="E41" s="7"/>
      <c r="F41" s="20">
        <v>0.05</v>
      </c>
      <c r="G41" s="13"/>
      <c r="H41" s="2"/>
      <c r="I41" s="21"/>
      <c r="J41" s="300"/>
    </row>
    <row r="42" spans="1:10" x14ac:dyDescent="0.25">
      <c r="A42" s="2"/>
      <c r="B42" s="7"/>
      <c r="C42" s="7"/>
      <c r="D42" s="2"/>
      <c r="E42" s="2"/>
      <c r="F42" s="2"/>
      <c r="G42" s="2"/>
      <c r="H42" s="2"/>
      <c r="I42" s="2"/>
    </row>
    <row r="43" spans="1:10" x14ac:dyDescent="0.25">
      <c r="A43" s="2"/>
      <c r="B43" s="22"/>
      <c r="C43" s="2"/>
      <c r="D43" s="2"/>
      <c r="E43" s="2"/>
      <c r="F43" s="2"/>
      <c r="G43" s="2"/>
      <c r="H43" s="2"/>
      <c r="I43" s="2"/>
    </row>
    <row r="44" spans="1:10" ht="15.75" x14ac:dyDescent="0.25">
      <c r="A44" s="5" t="s">
        <v>5</v>
      </c>
      <c r="B44" s="2"/>
      <c r="C44" s="2"/>
      <c r="D44" s="2"/>
      <c r="E44" s="2"/>
      <c r="F44" s="2"/>
      <c r="G44" s="2"/>
      <c r="H44" s="2"/>
      <c r="I44" s="2"/>
    </row>
    <row r="45" spans="1:10" x14ac:dyDescent="0.25">
      <c r="A45" s="23"/>
      <c r="B45" s="24" t="s">
        <v>6</v>
      </c>
      <c r="C45" s="24">
        <v>8</v>
      </c>
      <c r="D45" s="25" t="s">
        <v>7</v>
      </c>
      <c r="E45" s="2"/>
      <c r="F45" s="2"/>
      <c r="G45" s="2"/>
      <c r="H45" s="2"/>
      <c r="I45" s="2"/>
    </row>
    <row r="46" spans="1:10" ht="15.75" customHeight="1" x14ac:dyDescent="0.25">
      <c r="A46" s="2"/>
      <c r="B46" s="775" t="s">
        <v>8</v>
      </c>
      <c r="C46" s="775"/>
      <c r="D46" s="775"/>
      <c r="E46" s="775"/>
      <c r="F46" s="775"/>
      <c r="G46" s="775"/>
      <c r="H46" s="775"/>
      <c r="I46" s="2"/>
    </row>
    <row r="47" spans="1:10" ht="15" customHeight="1" x14ac:dyDescent="0.25">
      <c r="A47" s="504" t="s">
        <v>9</v>
      </c>
      <c r="B47" s="504"/>
      <c r="C47" s="505" t="s">
        <v>515</v>
      </c>
      <c r="D47" s="776" t="s">
        <v>10</v>
      </c>
      <c r="E47" s="777"/>
      <c r="F47" s="777"/>
      <c r="G47" s="777"/>
      <c r="H47" s="778"/>
      <c r="I47" s="2"/>
    </row>
    <row r="48" spans="1:10" x14ac:dyDescent="0.25">
      <c r="A48" s="505"/>
      <c r="B48" s="505"/>
      <c r="C48" s="506"/>
      <c r="D48" s="26" t="s">
        <v>11</v>
      </c>
      <c r="E48" s="26" t="s">
        <v>12</v>
      </c>
      <c r="F48" s="26" t="s">
        <v>13</v>
      </c>
      <c r="G48" s="26" t="s">
        <v>14</v>
      </c>
      <c r="H48" s="26" t="s">
        <v>15</v>
      </c>
      <c r="I48" s="2"/>
    </row>
    <row r="49" spans="1:9" ht="15" customHeight="1" x14ac:dyDescent="0.25">
      <c r="A49" s="771" t="s">
        <v>621</v>
      </c>
      <c r="B49" s="772"/>
      <c r="C49" s="773">
        <v>110</v>
      </c>
      <c r="D49" s="657">
        <v>0.2</v>
      </c>
      <c r="E49" s="657">
        <v>2</v>
      </c>
      <c r="F49" s="657">
        <v>1</v>
      </c>
      <c r="G49" s="657">
        <v>6</v>
      </c>
      <c r="H49" s="657">
        <v>1</v>
      </c>
      <c r="I49" s="2"/>
    </row>
    <row r="50" spans="1:9" x14ac:dyDescent="0.25">
      <c r="A50" s="377" t="s">
        <v>381</v>
      </c>
      <c r="B50" s="378">
        <f>F25</f>
        <v>10</v>
      </c>
      <c r="C50" s="774"/>
      <c r="D50" s="657"/>
      <c r="E50" s="657"/>
      <c r="F50" s="657"/>
      <c r="G50" s="657"/>
      <c r="H50" s="657"/>
      <c r="I50" s="2"/>
    </row>
    <row r="51" spans="1:9" ht="15" customHeight="1" x14ac:dyDescent="0.25">
      <c r="A51" s="771" t="s">
        <v>622</v>
      </c>
      <c r="B51" s="772"/>
      <c r="C51" s="773">
        <v>100</v>
      </c>
      <c r="D51" s="657">
        <v>0.3</v>
      </c>
      <c r="E51" s="657">
        <v>3</v>
      </c>
      <c r="F51" s="657">
        <v>1</v>
      </c>
      <c r="G51" s="657">
        <v>6</v>
      </c>
      <c r="H51" s="657">
        <v>1</v>
      </c>
      <c r="I51" s="2"/>
    </row>
    <row r="52" spans="1:9" x14ac:dyDescent="0.25">
      <c r="A52" s="379" t="s">
        <v>381</v>
      </c>
      <c r="B52" s="380">
        <f>F37</f>
        <v>3</v>
      </c>
      <c r="C52" s="774"/>
      <c r="D52" s="657"/>
      <c r="E52" s="657"/>
      <c r="F52" s="657"/>
      <c r="G52" s="657"/>
      <c r="H52" s="657"/>
      <c r="I52" s="2"/>
    </row>
    <row r="53" spans="1:9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5" t="s">
        <v>16</v>
      </c>
      <c r="B55" s="2"/>
      <c r="C55" s="2"/>
      <c r="D55" s="2"/>
      <c r="E55" s="2"/>
      <c r="F55" s="2"/>
      <c r="G55" s="2"/>
      <c r="H55" s="2"/>
      <c r="I55" s="2"/>
    </row>
    <row r="56" spans="1:9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5">
      <c r="A57" s="2"/>
      <c r="B57" s="6" t="s">
        <v>17</v>
      </c>
      <c r="C57" s="2"/>
      <c r="D57" s="2"/>
      <c r="E57" s="17">
        <v>1</v>
      </c>
      <c r="F57" s="2" t="s">
        <v>18</v>
      </c>
      <c r="G57" s="2"/>
      <c r="H57" s="2"/>
      <c r="I57" s="2"/>
    </row>
    <row r="58" spans="1:9" x14ac:dyDescent="0.25">
      <c r="A58" s="2"/>
      <c r="B58" s="6" t="s">
        <v>19</v>
      </c>
      <c r="C58" s="2"/>
      <c r="D58" s="2"/>
      <c r="E58" s="20">
        <v>0.03</v>
      </c>
      <c r="F58" s="2" t="s">
        <v>20</v>
      </c>
      <c r="G58" s="27" t="s">
        <v>21</v>
      </c>
      <c r="H58" s="27"/>
      <c r="I58" s="27"/>
    </row>
    <row r="59" spans="1:9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5" t="s">
        <v>22</v>
      </c>
      <c r="B61" s="2"/>
      <c r="C61" s="108"/>
      <c r="D61" s="566" t="s">
        <v>322</v>
      </c>
      <c r="E61" s="566"/>
      <c r="F61" s="566"/>
      <c r="G61" s="566"/>
      <c r="H61" s="2"/>
      <c r="I61" s="2"/>
    </row>
    <row r="62" spans="1:9" x14ac:dyDescent="0.25">
      <c r="A62" s="22"/>
      <c r="B62" s="18"/>
      <c r="C62" s="770"/>
      <c r="D62" s="770"/>
      <c r="E62" s="770"/>
      <c r="F62" s="770"/>
      <c r="G62" s="2"/>
      <c r="H62" s="2"/>
      <c r="I62" s="2"/>
    </row>
    <row r="63" spans="1:9" x14ac:dyDescent="0.25">
      <c r="A63" s="22"/>
      <c r="B63" s="100" t="s">
        <v>143</v>
      </c>
      <c r="C63" s="328"/>
      <c r="D63" s="2"/>
      <c r="E63" s="108" t="s">
        <v>118</v>
      </c>
      <c r="F63" s="2"/>
      <c r="G63" s="2"/>
      <c r="H63" s="2"/>
      <c r="I63" s="2"/>
    </row>
    <row r="64" spans="1:9" x14ac:dyDescent="0.25">
      <c r="A64" s="22"/>
      <c r="B64" s="18"/>
      <c r="C64" s="329"/>
      <c r="D64" s="107"/>
      <c r="E64" s="107"/>
      <c r="F64" s="107"/>
      <c r="G64" s="2"/>
      <c r="H64" s="2"/>
      <c r="I64" s="2"/>
    </row>
    <row r="65" spans="1:9" x14ac:dyDescent="0.25">
      <c r="B65" s="573" t="s">
        <v>23</v>
      </c>
      <c r="C65" s="574"/>
      <c r="D65" s="138" t="s">
        <v>123</v>
      </c>
      <c r="E65" s="575" t="s">
        <v>116</v>
      </c>
      <c r="F65" s="576"/>
      <c r="G65" s="577" t="s">
        <v>117</v>
      </c>
      <c r="H65" s="578"/>
      <c r="I65" s="2"/>
    </row>
    <row r="66" spans="1:9" x14ac:dyDescent="0.25">
      <c r="A66" s="28" t="s">
        <v>416</v>
      </c>
      <c r="B66" s="446" t="s">
        <v>39</v>
      </c>
      <c r="C66" s="446"/>
      <c r="D66" s="302" t="s">
        <v>417</v>
      </c>
      <c r="E66" s="29" t="s">
        <v>24</v>
      </c>
      <c r="F66" s="30">
        <v>22</v>
      </c>
      <c r="G66" s="29" t="s">
        <v>24</v>
      </c>
      <c r="H66" s="330">
        <f>F66/1.18</f>
        <v>18.64406779661017</v>
      </c>
      <c r="I66" s="2"/>
    </row>
    <row r="67" spans="1:9" ht="15.75" x14ac:dyDescent="0.25">
      <c r="A67" s="28"/>
      <c r="B67" s="446" t="s">
        <v>40</v>
      </c>
      <c r="C67" s="446"/>
      <c r="D67" s="193" t="s">
        <v>88</v>
      </c>
      <c r="E67" s="29" t="s">
        <v>24</v>
      </c>
      <c r="F67" s="30">
        <v>45</v>
      </c>
      <c r="G67" s="29" t="s">
        <v>24</v>
      </c>
      <c r="H67" s="330">
        <f t="shared" ref="H67:H69" si="0">F67/1.18</f>
        <v>38.135593220338983</v>
      </c>
      <c r="I67" s="2"/>
    </row>
    <row r="68" spans="1:9" ht="15.75" x14ac:dyDescent="0.25">
      <c r="A68" s="2"/>
      <c r="B68" s="446" t="s">
        <v>623</v>
      </c>
      <c r="C68" s="446"/>
      <c r="D68" s="193" t="s">
        <v>88</v>
      </c>
      <c r="E68" s="29" t="s">
        <v>24</v>
      </c>
      <c r="F68" s="30">
        <v>65</v>
      </c>
      <c r="G68" s="29" t="s">
        <v>24</v>
      </c>
      <c r="H68" s="330">
        <f t="shared" si="0"/>
        <v>55.084745762711869</v>
      </c>
      <c r="I68" s="2"/>
    </row>
    <row r="69" spans="1:9" ht="15.75" x14ac:dyDescent="0.25">
      <c r="A69" s="2"/>
      <c r="B69" s="446" t="s">
        <v>41</v>
      </c>
      <c r="C69" s="446"/>
      <c r="D69" s="193" t="s">
        <v>88</v>
      </c>
      <c r="E69" s="29" t="s">
        <v>24</v>
      </c>
      <c r="F69" s="30">
        <v>5</v>
      </c>
      <c r="G69" s="29" t="s">
        <v>24</v>
      </c>
      <c r="H69" s="330">
        <f t="shared" si="0"/>
        <v>4.2372881355932206</v>
      </c>
      <c r="I69" s="2"/>
    </row>
    <row r="70" spans="1:9" x14ac:dyDescent="0.25">
      <c r="A70" s="2"/>
      <c r="B70" s="18"/>
      <c r="C70" s="31"/>
      <c r="D70" s="31"/>
      <c r="E70" s="32"/>
      <c r="F70" s="33"/>
      <c r="G70" s="2"/>
      <c r="H70" s="2"/>
      <c r="I70" s="2"/>
    </row>
    <row r="71" spans="1:9" x14ac:dyDescent="0.25">
      <c r="A71" s="2"/>
      <c r="B71" s="100" t="s">
        <v>152</v>
      </c>
      <c r="C71" s="120"/>
      <c r="D71" s="31"/>
      <c r="E71" s="32"/>
      <c r="F71" s="33"/>
      <c r="G71" s="2"/>
      <c r="H71" s="2"/>
      <c r="I71" s="2"/>
    </row>
    <row r="72" spans="1:9" x14ac:dyDescent="0.25">
      <c r="A72" s="28"/>
      <c r="B72" s="185"/>
      <c r="C72" s="185"/>
      <c r="D72" s="68"/>
      <c r="E72" s="259"/>
      <c r="F72" s="33"/>
      <c r="G72" s="32"/>
      <c r="H72" s="260"/>
      <c r="I72" s="2"/>
    </row>
    <row r="73" spans="1:9" x14ac:dyDescent="0.25">
      <c r="A73" s="28" t="s">
        <v>119</v>
      </c>
      <c r="B73" s="573" t="s">
        <v>26</v>
      </c>
      <c r="C73" s="574"/>
      <c r="D73" s="138" t="s">
        <v>123</v>
      </c>
      <c r="E73" s="584" t="s">
        <v>116</v>
      </c>
      <c r="F73" s="584"/>
      <c r="G73" s="577" t="s">
        <v>117</v>
      </c>
      <c r="H73" s="578"/>
      <c r="I73" s="2"/>
    </row>
    <row r="74" spans="1:9" x14ac:dyDescent="0.25">
      <c r="A74" s="28"/>
      <c r="B74" s="534" t="s">
        <v>54</v>
      </c>
      <c r="C74" s="535"/>
      <c r="D74" s="284" t="s">
        <v>396</v>
      </c>
      <c r="E74" s="115" t="s">
        <v>24</v>
      </c>
      <c r="F74" s="30">
        <v>12</v>
      </c>
      <c r="G74" s="115" t="s">
        <v>24</v>
      </c>
      <c r="H74" s="106">
        <f t="shared" ref="H74" si="1">F74/1.18</f>
        <v>10.16949152542373</v>
      </c>
      <c r="I74" s="2"/>
    </row>
    <row r="75" spans="1:9" x14ac:dyDescent="0.25">
      <c r="A75" s="2"/>
      <c r="B75" s="381" t="s">
        <v>119</v>
      </c>
      <c r="C75" s="31"/>
      <c r="D75" s="31"/>
      <c r="E75" s="32"/>
      <c r="F75" s="33"/>
      <c r="G75" s="2"/>
      <c r="H75" s="2"/>
      <c r="I75" s="2"/>
    </row>
    <row r="76" spans="1:9" x14ac:dyDescent="0.25">
      <c r="A76" s="28" t="s">
        <v>120</v>
      </c>
      <c r="B76" s="287" t="s">
        <v>120</v>
      </c>
      <c r="C76" s="31"/>
      <c r="D76" s="31"/>
      <c r="E76" s="32"/>
      <c r="F76" s="33"/>
      <c r="G76" s="2"/>
      <c r="H76" s="2"/>
      <c r="I76" s="2"/>
    </row>
    <row r="77" spans="1:9" x14ac:dyDescent="0.25">
      <c r="A77" s="164"/>
      <c r="B77" s="455" t="s">
        <v>179</v>
      </c>
      <c r="C77" s="455"/>
      <c r="D77" s="564"/>
      <c r="E77" s="17" t="s">
        <v>120</v>
      </c>
      <c r="F77" s="533" t="s">
        <v>624</v>
      </c>
      <c r="G77" s="533"/>
      <c r="H77" s="2"/>
      <c r="I77" s="2"/>
    </row>
    <row r="78" spans="1:9" x14ac:dyDescent="0.25">
      <c r="A78" s="2"/>
      <c r="B78" s="18"/>
      <c r="C78" s="31"/>
      <c r="D78" s="31"/>
      <c r="E78" s="32"/>
      <c r="F78" s="533"/>
      <c r="G78" s="533"/>
      <c r="H78" s="2"/>
      <c r="I78" s="2"/>
    </row>
    <row r="79" spans="1:9" x14ac:dyDescent="0.25">
      <c r="A79" s="2"/>
      <c r="B79" s="18"/>
      <c r="C79" s="31"/>
      <c r="D79" s="31"/>
      <c r="E79" s="32"/>
      <c r="F79" s="33"/>
      <c r="G79" s="2"/>
      <c r="H79" s="2"/>
      <c r="I79" s="2"/>
    </row>
    <row r="80" spans="1:9" x14ac:dyDescent="0.25">
      <c r="A80" s="2"/>
      <c r="B80" s="18"/>
      <c r="C80" s="31"/>
      <c r="D80" s="31"/>
      <c r="E80" s="32"/>
      <c r="F80" s="33"/>
      <c r="G80" s="2"/>
      <c r="H80" s="2"/>
      <c r="I80" s="2"/>
    </row>
    <row r="81" spans="1:9" x14ac:dyDescent="0.25">
      <c r="A81" s="2"/>
      <c r="B81" s="100" t="s">
        <v>144</v>
      </c>
      <c r="C81" s="120"/>
      <c r="D81" s="31"/>
      <c r="E81" s="32"/>
      <c r="F81" s="33"/>
      <c r="G81" s="2"/>
      <c r="H81" s="2"/>
      <c r="I81" s="2"/>
    </row>
    <row r="82" spans="1:9" x14ac:dyDescent="0.25">
      <c r="A82" s="2"/>
      <c r="B82" s="18"/>
      <c r="C82" s="31"/>
      <c r="D82" s="31"/>
      <c r="E82" s="32"/>
      <c r="F82" s="33"/>
      <c r="G82" s="2"/>
      <c r="H82" s="2"/>
      <c r="I82" s="2"/>
    </row>
    <row r="83" spans="1:9" x14ac:dyDescent="0.25">
      <c r="A83" s="2"/>
      <c r="B83" s="567" t="s">
        <v>124</v>
      </c>
      <c r="C83" s="568"/>
      <c r="D83" s="568"/>
      <c r="E83" s="568"/>
      <c r="F83" s="568"/>
      <c r="G83" s="569"/>
      <c r="H83" s="2"/>
      <c r="I83" s="2"/>
    </row>
    <row r="84" spans="1:9" x14ac:dyDescent="0.25">
      <c r="A84" s="2"/>
      <c r="B84" s="570" t="s">
        <v>125</v>
      </c>
      <c r="C84" s="571"/>
      <c r="D84" s="571"/>
      <c r="E84" s="571"/>
      <c r="F84" s="571"/>
      <c r="G84" s="572"/>
      <c r="H84" s="2"/>
      <c r="I84" s="2"/>
    </row>
    <row r="85" spans="1:9" x14ac:dyDescent="0.25">
      <c r="A85" s="2"/>
      <c r="B85" s="524" t="s">
        <v>126</v>
      </c>
      <c r="C85" s="524"/>
      <c r="D85" s="524"/>
      <c r="E85" s="117" t="s">
        <v>12</v>
      </c>
      <c r="F85" s="118" t="s">
        <v>13</v>
      </c>
      <c r="G85" s="117" t="s">
        <v>14</v>
      </c>
      <c r="H85" s="2"/>
      <c r="I85" s="2"/>
    </row>
    <row r="86" spans="1:9" x14ac:dyDescent="0.25">
      <c r="A86" s="2"/>
      <c r="B86" s="525" t="s">
        <v>127</v>
      </c>
      <c r="C86" s="525"/>
      <c r="D86" s="525"/>
      <c r="E86" s="112">
        <v>74.3</v>
      </c>
      <c r="F86" s="112">
        <v>58.45</v>
      </c>
      <c r="G86" s="112">
        <v>52.5</v>
      </c>
      <c r="H86" s="2"/>
      <c r="I86" s="2"/>
    </row>
    <row r="87" spans="1:9" x14ac:dyDescent="0.25">
      <c r="A87" s="2"/>
      <c r="B87" s="526" t="s">
        <v>128</v>
      </c>
      <c r="C87" s="526"/>
      <c r="D87" s="526"/>
      <c r="E87" s="84"/>
      <c r="F87" s="112"/>
      <c r="G87" s="112"/>
      <c r="H87" s="2"/>
      <c r="I87" s="2"/>
    </row>
    <row r="88" spans="1:9" x14ac:dyDescent="0.25">
      <c r="A88" s="2"/>
      <c r="B88" s="121"/>
      <c r="C88" s="122" t="s">
        <v>12</v>
      </c>
      <c r="D88" s="123">
        <v>0.32</v>
      </c>
      <c r="E88" s="84">
        <f>D88*E86</f>
        <v>23.776</v>
      </c>
      <c r="F88" s="112"/>
      <c r="G88" s="112"/>
      <c r="H88" s="2"/>
      <c r="I88" s="2"/>
    </row>
    <row r="89" spans="1:9" x14ac:dyDescent="0.25">
      <c r="A89" s="2"/>
      <c r="B89" s="124"/>
      <c r="C89" s="125" t="s">
        <v>13</v>
      </c>
      <c r="D89" s="126">
        <v>0.3</v>
      </c>
      <c r="E89" s="84"/>
      <c r="F89" s="112">
        <f>D89*F86</f>
        <v>17.535</v>
      </c>
      <c r="G89" s="112"/>
      <c r="H89" s="2"/>
      <c r="I89" s="2"/>
    </row>
    <row r="90" spans="1:9" x14ac:dyDescent="0.25">
      <c r="A90" s="2"/>
      <c r="B90" s="124"/>
      <c r="C90" s="125" t="s">
        <v>14</v>
      </c>
      <c r="D90" s="126">
        <v>0.3</v>
      </c>
      <c r="E90" s="84"/>
      <c r="F90" s="112"/>
      <c r="G90" s="112">
        <f>D90*G86</f>
        <v>15.75</v>
      </c>
      <c r="H90" s="2"/>
      <c r="I90" s="2"/>
    </row>
    <row r="91" spans="1:9" ht="15" customHeight="1" x14ac:dyDescent="0.25">
      <c r="A91" s="2"/>
      <c r="B91" s="527" t="s">
        <v>129</v>
      </c>
      <c r="C91" s="528"/>
      <c r="D91" s="127">
        <v>1.1345000000000001</v>
      </c>
      <c r="E91" s="84">
        <f>D91*E86</f>
        <v>84.293350000000004</v>
      </c>
      <c r="F91" s="112">
        <f>D91*F86</f>
        <v>66.311525000000003</v>
      </c>
      <c r="G91" s="112">
        <f>D91*G86</f>
        <v>59.561250000000001</v>
      </c>
      <c r="H91" s="2"/>
      <c r="I91" s="2"/>
    </row>
    <row r="92" spans="1:9" ht="15" customHeight="1" x14ac:dyDescent="0.25">
      <c r="A92" s="2"/>
      <c r="B92" s="527" t="s">
        <v>130</v>
      </c>
      <c r="C92" s="528"/>
      <c r="D92" s="128">
        <v>0.12</v>
      </c>
      <c r="E92" s="84">
        <f>D92*E88</f>
        <v>2.8531199999999997</v>
      </c>
      <c r="F92" s="112">
        <f>D92*F89</f>
        <v>2.1042000000000001</v>
      </c>
      <c r="G92" s="112">
        <f>D92*G90</f>
        <v>1.89</v>
      </c>
      <c r="H92" s="2"/>
      <c r="I92" s="2"/>
    </row>
    <row r="93" spans="1:9" x14ac:dyDescent="0.25">
      <c r="A93" s="2"/>
      <c r="B93" s="526" t="s">
        <v>131</v>
      </c>
      <c r="C93" s="526"/>
      <c r="D93" s="526"/>
      <c r="E93" s="84">
        <v>8</v>
      </c>
      <c r="F93" s="112">
        <v>8</v>
      </c>
      <c r="G93" s="112">
        <v>8</v>
      </c>
      <c r="H93" s="2"/>
      <c r="I93" s="2"/>
    </row>
    <row r="94" spans="1:9" x14ac:dyDescent="0.25">
      <c r="A94" s="2"/>
      <c r="B94" s="526" t="s">
        <v>132</v>
      </c>
      <c r="C94" s="526"/>
      <c r="D94" s="526"/>
      <c r="E94" s="84">
        <v>0.4</v>
      </c>
      <c r="F94" s="112">
        <v>0.4</v>
      </c>
      <c r="G94" s="112">
        <v>0.4</v>
      </c>
      <c r="H94" s="2"/>
      <c r="I94" s="2"/>
    </row>
    <row r="95" spans="1:9" x14ac:dyDescent="0.25">
      <c r="A95" s="2"/>
      <c r="B95" s="526" t="s">
        <v>133</v>
      </c>
      <c r="C95" s="526"/>
      <c r="D95" s="526"/>
      <c r="E95" s="84">
        <v>0.17</v>
      </c>
      <c r="F95" s="112">
        <v>0.17</v>
      </c>
      <c r="G95" s="112">
        <v>0.17</v>
      </c>
      <c r="H95" s="2"/>
      <c r="I95" s="2"/>
    </row>
    <row r="96" spans="1:9" x14ac:dyDescent="0.25">
      <c r="A96" s="2"/>
      <c r="B96" s="636" t="s">
        <v>134</v>
      </c>
      <c r="C96" s="636"/>
      <c r="D96" s="636"/>
      <c r="E96" s="119">
        <f>E86+E88+E91+E92+E93+E94+E95</f>
        <v>193.79246999999998</v>
      </c>
      <c r="F96" s="118">
        <f>F86+F89+F91+F92+F93+F94+F95</f>
        <v>152.97072499999999</v>
      </c>
      <c r="G96" s="118">
        <f>G86+G90+G91+G92+G93+G94+G95</f>
        <v>138.27124999999998</v>
      </c>
      <c r="H96" s="2"/>
      <c r="I96" s="2"/>
    </row>
    <row r="97" spans="1:9" x14ac:dyDescent="0.25">
      <c r="A97" s="2"/>
      <c r="B97" s="636" t="s">
        <v>135</v>
      </c>
      <c r="C97" s="636"/>
      <c r="D97" s="636"/>
      <c r="E97" s="119">
        <f>E96/8</f>
        <v>24.224058749999998</v>
      </c>
      <c r="F97" s="118">
        <f>F96/8</f>
        <v>19.121340624999998</v>
      </c>
      <c r="G97" s="118">
        <f>G96/8</f>
        <v>17.283906249999998</v>
      </c>
      <c r="H97" s="2"/>
      <c r="I97" s="2"/>
    </row>
    <row r="98" spans="1:9" x14ac:dyDescent="0.25">
      <c r="A98" s="2"/>
      <c r="B98" s="18"/>
      <c r="C98" s="31"/>
      <c r="D98" s="31"/>
      <c r="E98" s="32"/>
      <c r="F98" s="33"/>
      <c r="G98" s="2"/>
      <c r="H98" s="2"/>
      <c r="I98" s="2"/>
    </row>
    <row r="99" spans="1:9" x14ac:dyDescent="0.25">
      <c r="A99" s="2"/>
      <c r="B99" s="580" t="s">
        <v>136</v>
      </c>
      <c r="C99" s="581"/>
      <c r="D99" s="581"/>
      <c r="E99" s="581"/>
      <c r="F99" s="581"/>
      <c r="G99" s="582"/>
      <c r="H99" s="2"/>
      <c r="I99" s="2"/>
    </row>
    <row r="100" spans="1:9" x14ac:dyDescent="0.25">
      <c r="A100" s="2"/>
      <c r="B100" s="129" t="s">
        <v>137</v>
      </c>
      <c r="C100" s="130"/>
      <c r="D100" s="131"/>
      <c r="E100" s="113">
        <v>1.1000000000000001</v>
      </c>
      <c r="F100" s="114" t="s">
        <v>140</v>
      </c>
      <c r="G100" s="111">
        <f>E100*E97</f>
        <v>26.646464625</v>
      </c>
      <c r="H100" s="2"/>
      <c r="I100" s="2"/>
    </row>
    <row r="101" spans="1:9" x14ac:dyDescent="0.25">
      <c r="A101" s="2"/>
      <c r="B101" s="129" t="s">
        <v>12</v>
      </c>
      <c r="C101" s="130"/>
      <c r="D101" s="131"/>
      <c r="E101" s="113"/>
      <c r="F101" s="114"/>
      <c r="G101" s="111">
        <f>E97</f>
        <v>24.224058749999998</v>
      </c>
      <c r="H101" s="2"/>
      <c r="I101" s="2"/>
    </row>
    <row r="102" spans="1:9" x14ac:dyDescent="0.25">
      <c r="A102" s="2"/>
      <c r="B102" s="129" t="s">
        <v>13</v>
      </c>
      <c r="C102" s="130"/>
      <c r="D102" s="131"/>
      <c r="E102" s="115"/>
      <c r="F102" s="116"/>
      <c r="G102" s="111">
        <f>F97</f>
        <v>19.121340624999998</v>
      </c>
      <c r="H102" s="2"/>
      <c r="I102" s="2"/>
    </row>
    <row r="103" spans="1:9" x14ac:dyDescent="0.25">
      <c r="A103" s="2"/>
      <c r="B103" s="129" t="s">
        <v>14</v>
      </c>
      <c r="C103" s="130"/>
      <c r="D103" s="131"/>
      <c r="E103" s="115"/>
      <c r="F103" s="116"/>
      <c r="G103" s="111">
        <f>G97</f>
        <v>17.283906249999998</v>
      </c>
      <c r="H103" s="2"/>
      <c r="I103" s="2"/>
    </row>
    <row r="104" spans="1:9" ht="15" customHeight="1" x14ac:dyDescent="0.25">
      <c r="A104" s="2"/>
      <c r="B104" s="129" t="s">
        <v>138</v>
      </c>
      <c r="C104" s="130"/>
      <c r="D104" s="131"/>
      <c r="E104" s="113">
        <v>1</v>
      </c>
      <c r="F104" s="114" t="s">
        <v>141</v>
      </c>
      <c r="G104" s="111">
        <f>E104*F97</f>
        <v>19.121340624999998</v>
      </c>
      <c r="H104" s="2"/>
      <c r="I104" s="2"/>
    </row>
    <row r="105" spans="1:9" x14ac:dyDescent="0.25">
      <c r="A105" s="2"/>
      <c r="B105" s="630" t="s">
        <v>25</v>
      </c>
      <c r="C105" s="631"/>
      <c r="D105" s="632"/>
      <c r="E105" s="113">
        <v>1.08</v>
      </c>
      <c r="F105" s="114" t="s">
        <v>140</v>
      </c>
      <c r="G105" s="111">
        <f>E105*E97</f>
        <v>26.161983449999997</v>
      </c>
      <c r="H105" s="2"/>
      <c r="I105" s="2"/>
    </row>
    <row r="106" spans="1:9" x14ac:dyDescent="0.25">
      <c r="A106" s="2"/>
      <c r="B106" s="630" t="s">
        <v>139</v>
      </c>
      <c r="C106" s="631"/>
      <c r="D106" s="632"/>
      <c r="E106" s="113">
        <v>1.1000000000000001</v>
      </c>
      <c r="F106" s="114" t="s">
        <v>140</v>
      </c>
      <c r="G106" s="111">
        <f>E106*E97</f>
        <v>26.646464625</v>
      </c>
      <c r="H106" s="2"/>
      <c r="I106" s="2"/>
    </row>
    <row r="107" spans="1:9" x14ac:dyDescent="0.25">
      <c r="A107" s="2"/>
      <c r="B107" s="633" t="s">
        <v>142</v>
      </c>
      <c r="C107" s="633"/>
      <c r="D107" s="633"/>
      <c r="E107" s="633"/>
      <c r="F107" s="633"/>
      <c r="G107" s="633"/>
      <c r="H107" s="2"/>
      <c r="I107" s="2"/>
    </row>
    <row r="108" spans="1:9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5">
      <c r="A109" s="28" t="s">
        <v>147</v>
      </c>
      <c r="B109" s="132" t="s">
        <v>145</v>
      </c>
      <c r="C109" s="133"/>
      <c r="D109" s="136">
        <v>4600</v>
      </c>
      <c r="E109" s="32" t="s">
        <v>146</v>
      </c>
      <c r="F109" s="134">
        <f>50*D109</f>
        <v>230000</v>
      </c>
      <c r="G109" s="2"/>
      <c r="H109" s="2"/>
      <c r="I109" s="2"/>
    </row>
    <row r="110" spans="1:9" x14ac:dyDescent="0.25">
      <c r="A110" s="28" t="s">
        <v>148</v>
      </c>
      <c r="B110" s="18"/>
      <c r="C110" s="31"/>
      <c r="D110" s="31"/>
      <c r="E110" s="32"/>
      <c r="F110" s="33"/>
      <c r="G110" s="2"/>
      <c r="H110" s="2"/>
      <c r="I110" s="2"/>
    </row>
    <row r="111" spans="1:9" ht="15" customHeight="1" x14ac:dyDescent="0.25">
      <c r="A111" s="28" t="s">
        <v>147</v>
      </c>
      <c r="B111" s="456" t="s">
        <v>351</v>
      </c>
      <c r="C111" s="634"/>
      <c r="D111" s="17" t="s">
        <v>147</v>
      </c>
      <c r="E111" s="533" t="s">
        <v>521</v>
      </c>
      <c r="F111" s="533"/>
      <c r="G111" s="2"/>
      <c r="I111" s="2"/>
    </row>
    <row r="112" spans="1:9" x14ac:dyDescent="0.25">
      <c r="A112" s="28" t="s">
        <v>148</v>
      </c>
      <c r="B112" s="18"/>
      <c r="C112" s="31"/>
      <c r="D112" s="31"/>
      <c r="E112" s="533"/>
      <c r="F112" s="533"/>
      <c r="G112" s="2"/>
      <c r="H112" s="2"/>
      <c r="I112" s="2"/>
    </row>
    <row r="113" spans="1:9" x14ac:dyDescent="0.25">
      <c r="A113" s="2"/>
      <c r="B113" s="18"/>
      <c r="C113" s="31"/>
      <c r="D113" s="31"/>
      <c r="E113" s="32"/>
      <c r="F113" s="33"/>
      <c r="G113" s="2"/>
      <c r="H113" s="2"/>
      <c r="I113" s="2"/>
    </row>
    <row r="114" spans="1:9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5">
      <c r="A116" s="2"/>
      <c r="B116" s="18"/>
      <c r="C116" s="31"/>
      <c r="D116" s="31"/>
      <c r="E116" s="32"/>
      <c r="F116" s="33"/>
      <c r="G116" s="2"/>
      <c r="H116" s="2"/>
      <c r="I116" s="2"/>
    </row>
    <row r="117" spans="1:9" ht="15" customHeight="1" x14ac:dyDescent="0.25">
      <c r="A117" s="2"/>
      <c r="B117" s="18"/>
      <c r="C117" s="31"/>
      <c r="D117" s="31"/>
      <c r="E117" s="32"/>
      <c r="F117" s="34"/>
      <c r="G117" s="684" t="s">
        <v>28</v>
      </c>
      <c r="H117" s="533"/>
      <c r="I117" s="2"/>
    </row>
    <row r="118" spans="1:9" ht="15" customHeight="1" x14ac:dyDescent="0.25">
      <c r="A118" s="2"/>
      <c r="B118" s="18"/>
      <c r="C118" s="31"/>
      <c r="D118" s="31"/>
      <c r="E118" s="32"/>
      <c r="F118" s="34"/>
      <c r="G118" s="533"/>
      <c r="H118" s="533"/>
      <c r="I118" s="2"/>
    </row>
    <row r="119" spans="1:9" ht="15" customHeight="1" x14ac:dyDescent="0.25">
      <c r="A119" s="2"/>
      <c r="B119" s="18"/>
      <c r="C119" s="31"/>
      <c r="D119" s="31"/>
      <c r="E119" s="32"/>
      <c r="F119" s="34"/>
      <c r="G119" s="533"/>
      <c r="H119" s="533"/>
      <c r="I119" s="2"/>
    </row>
    <row r="120" spans="1:9" ht="15" customHeight="1" x14ac:dyDescent="0.25">
      <c r="A120" s="2"/>
      <c r="B120" s="18"/>
      <c r="C120" s="31"/>
      <c r="D120" s="31"/>
      <c r="E120" s="32"/>
      <c r="F120" s="34"/>
      <c r="G120" s="21"/>
      <c r="H120" s="21"/>
      <c r="I120" s="2"/>
    </row>
    <row r="121" spans="1:9" ht="15" customHeight="1" x14ac:dyDescent="0.25">
      <c r="A121" s="22" t="s">
        <v>625</v>
      </c>
      <c r="B121" s="18"/>
      <c r="C121" s="2"/>
      <c r="D121" s="2"/>
      <c r="E121" s="13"/>
      <c r="F121" s="35"/>
      <c r="G121" s="36"/>
      <c r="H121" s="36"/>
      <c r="I121" s="2"/>
    </row>
    <row r="122" spans="1:9" x14ac:dyDescent="0.25">
      <c r="A122" s="548" t="s">
        <v>29</v>
      </c>
      <c r="B122" s="548"/>
      <c r="C122" s="548"/>
      <c r="D122" s="2"/>
      <c r="E122" s="13"/>
      <c r="F122" s="35"/>
      <c r="G122" s="36"/>
      <c r="H122" s="36"/>
      <c r="I122" s="2"/>
    </row>
    <row r="123" spans="1:9" ht="15.75" x14ac:dyDescent="0.25">
      <c r="A123" s="22"/>
      <c r="B123" s="18"/>
      <c r="C123" s="4" t="s">
        <v>626</v>
      </c>
      <c r="D123" s="2"/>
      <c r="E123" s="13"/>
      <c r="F123" s="35"/>
      <c r="G123" s="37">
        <v>90</v>
      </c>
      <c r="H123" s="38" t="s">
        <v>300</v>
      </c>
      <c r="I123" s="2"/>
    </row>
    <row r="124" spans="1:9" ht="15.75" x14ac:dyDescent="0.25">
      <c r="A124" s="2"/>
      <c r="B124" s="18"/>
      <c r="C124" s="4" t="s">
        <v>627</v>
      </c>
      <c r="D124" s="2"/>
      <c r="E124" s="13"/>
      <c r="F124" s="2"/>
      <c r="G124" s="37">
        <v>90</v>
      </c>
      <c r="H124" s="38" t="s">
        <v>300</v>
      </c>
      <c r="I124" s="2"/>
    </row>
    <row r="125" spans="1:9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769" t="s">
        <v>30</v>
      </c>
      <c r="B128" s="769"/>
      <c r="C128" s="769"/>
      <c r="D128" s="2"/>
      <c r="E128" s="2"/>
      <c r="F128" s="2"/>
      <c r="G128" s="2"/>
      <c r="H128" s="2"/>
      <c r="I128" s="2"/>
    </row>
    <row r="129" spans="1:9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5" t="s">
        <v>628</v>
      </c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6" t="s">
        <v>629</v>
      </c>
      <c r="D131" s="2"/>
      <c r="E131" s="2"/>
      <c r="F131" s="2"/>
      <c r="G131" s="2"/>
      <c r="H131" s="2"/>
      <c r="I131" s="2"/>
    </row>
    <row r="132" spans="1:9" x14ac:dyDescent="0.25">
      <c r="A132" s="2"/>
      <c r="B132" s="6"/>
      <c r="C132" s="599" t="s">
        <v>630</v>
      </c>
      <c r="D132" s="599"/>
      <c r="E132" s="175">
        <f>F25</f>
        <v>10</v>
      </c>
      <c r="F132" s="25" t="s">
        <v>337</v>
      </c>
      <c r="G132" s="2"/>
      <c r="H132" s="2"/>
      <c r="I132" s="2"/>
    </row>
    <row r="133" spans="1:9" ht="15.75" x14ac:dyDescent="0.25">
      <c r="A133" s="2"/>
      <c r="B133" s="600" t="s">
        <v>631</v>
      </c>
      <c r="C133" s="601"/>
      <c r="D133" s="601"/>
      <c r="E133" s="265">
        <f>(1*1*(E132/100))</f>
        <v>0.1</v>
      </c>
      <c r="F133" s="214" t="s">
        <v>361</v>
      </c>
      <c r="G133" s="2"/>
      <c r="H133" s="2"/>
      <c r="I133" s="2"/>
    </row>
    <row r="134" spans="1:9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5">
      <c r="A136" s="2"/>
      <c r="B136" s="6" t="s">
        <v>632</v>
      </c>
      <c r="C136" s="2"/>
      <c r="D136" s="2"/>
      <c r="E136" s="2"/>
      <c r="F136" s="2"/>
      <c r="G136" s="2"/>
      <c r="H136" s="2"/>
      <c r="I136" s="2"/>
    </row>
    <row r="137" spans="1:9" x14ac:dyDescent="0.25">
      <c r="A137" s="2"/>
      <c r="B137" s="2"/>
      <c r="C137" s="24"/>
      <c r="D137" s="24" t="s">
        <v>31</v>
      </c>
      <c r="E137" s="39">
        <f>F40</f>
        <v>0.05</v>
      </c>
      <c r="F137" s="2"/>
      <c r="G137" s="2"/>
      <c r="H137" s="2"/>
      <c r="I137" s="2"/>
    </row>
    <row r="138" spans="1:9" ht="15.75" x14ac:dyDescent="0.25">
      <c r="A138" s="2"/>
      <c r="B138" s="767" t="s">
        <v>633</v>
      </c>
      <c r="C138" s="768"/>
      <c r="D138" s="768"/>
      <c r="E138" s="40">
        <f>(E133*G123)+(E137*(E133*G123))</f>
        <v>9.4499999999999993</v>
      </c>
      <c r="F138" s="41" t="s">
        <v>32</v>
      </c>
      <c r="G138" s="2"/>
      <c r="H138" s="2"/>
      <c r="I138" s="2"/>
    </row>
    <row r="139" spans="1:9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5" t="s">
        <v>634</v>
      </c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6" t="s">
        <v>635</v>
      </c>
      <c r="D142" s="2"/>
      <c r="E142" s="2"/>
      <c r="F142" s="2"/>
      <c r="G142" s="2"/>
      <c r="H142" s="2"/>
      <c r="I142" s="2"/>
    </row>
    <row r="143" spans="1:9" x14ac:dyDescent="0.25">
      <c r="A143" s="2"/>
      <c r="B143" s="6"/>
      <c r="C143" s="599" t="s">
        <v>636</v>
      </c>
      <c r="D143" s="599"/>
      <c r="E143" s="175">
        <f>F37</f>
        <v>3</v>
      </c>
      <c r="F143" s="25" t="s">
        <v>337</v>
      </c>
      <c r="G143" s="2"/>
      <c r="H143" s="2"/>
      <c r="I143" s="2"/>
    </row>
    <row r="144" spans="1:9" ht="15.75" x14ac:dyDescent="0.25">
      <c r="A144" s="2"/>
      <c r="B144" s="600" t="s">
        <v>637</v>
      </c>
      <c r="C144" s="601"/>
      <c r="D144" s="601"/>
      <c r="E144" s="265">
        <f>(1*1*(E143/100))</f>
        <v>0.03</v>
      </c>
      <c r="F144" s="214" t="s">
        <v>361</v>
      </c>
      <c r="G144" s="2"/>
      <c r="H144" s="2"/>
      <c r="I144" s="2"/>
    </row>
    <row r="145" spans="1:9" x14ac:dyDescent="0.25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5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5">
      <c r="A147" s="2"/>
      <c r="B147" s="6" t="s">
        <v>638</v>
      </c>
      <c r="C147" s="2"/>
      <c r="D147" s="2"/>
      <c r="E147" s="2"/>
      <c r="F147" s="2"/>
      <c r="G147" s="2"/>
      <c r="H147" s="2"/>
      <c r="I147" s="2"/>
    </row>
    <row r="148" spans="1:9" x14ac:dyDescent="0.25">
      <c r="A148" s="2"/>
      <c r="B148" s="2"/>
      <c r="C148" s="24"/>
      <c r="D148" s="24" t="s">
        <v>554</v>
      </c>
      <c r="E148" s="39">
        <f>F41</f>
        <v>0.05</v>
      </c>
      <c r="F148" s="2"/>
      <c r="G148" s="2"/>
      <c r="H148" s="2"/>
      <c r="I148" s="2"/>
    </row>
    <row r="149" spans="1:9" ht="15.75" x14ac:dyDescent="0.25">
      <c r="A149" s="2"/>
      <c r="B149" s="767" t="s">
        <v>639</v>
      </c>
      <c r="C149" s="768"/>
      <c r="D149" s="768"/>
      <c r="E149" s="40">
        <f>(E144*G124)+(E148*(E144*G124))</f>
        <v>2.8349999999999995</v>
      </c>
      <c r="F149" s="41" t="s">
        <v>32</v>
      </c>
      <c r="G149" s="2"/>
      <c r="H149" s="2"/>
      <c r="I149" s="2"/>
    </row>
    <row r="150" spans="1:9" x14ac:dyDescent="0.25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5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5">
      <c r="A152" s="2"/>
      <c r="B152" s="2"/>
      <c r="C152" s="2"/>
      <c r="D152" s="2"/>
      <c r="E152" s="2"/>
      <c r="F152" s="2"/>
      <c r="G152" s="2"/>
      <c r="H152" s="2"/>
      <c r="I152" s="2"/>
    </row>
    <row r="153" spans="1:9" ht="15.75" x14ac:dyDescent="0.25">
      <c r="A153" s="5" t="s">
        <v>640</v>
      </c>
      <c r="B153" s="2"/>
      <c r="C153" s="2"/>
      <c r="D153" s="2"/>
      <c r="E153" s="2"/>
      <c r="F153" s="2"/>
      <c r="G153" s="2"/>
      <c r="H153" s="2"/>
      <c r="I153" s="2"/>
    </row>
    <row r="154" spans="1:9" x14ac:dyDescent="0.25">
      <c r="A154" s="2"/>
      <c r="B154" s="2"/>
      <c r="C154" s="6"/>
      <c r="D154" s="42"/>
      <c r="E154" s="42"/>
      <c r="F154" s="2"/>
      <c r="G154" s="2"/>
      <c r="H154" s="2"/>
      <c r="I154" s="2"/>
    </row>
    <row r="155" spans="1:9" x14ac:dyDescent="0.25">
      <c r="A155" s="2"/>
      <c r="B155" s="2"/>
      <c r="C155" s="25" t="s">
        <v>33</v>
      </c>
      <c r="D155" s="2"/>
      <c r="E155" s="2"/>
      <c r="F155" s="2"/>
      <c r="G155" s="2"/>
      <c r="H155" s="2"/>
      <c r="I155" s="2"/>
    </row>
    <row r="156" spans="1:9" ht="15.75" x14ac:dyDescent="0.25">
      <c r="A156" s="2"/>
      <c r="B156" s="2"/>
      <c r="C156" s="2"/>
      <c r="D156" s="2"/>
      <c r="E156" s="2"/>
      <c r="F156" s="587" t="s">
        <v>641</v>
      </c>
      <c r="G156" s="587"/>
      <c r="H156" s="587"/>
      <c r="I156" s="2"/>
    </row>
    <row r="157" spans="1:9" x14ac:dyDescent="0.25">
      <c r="A157" s="2"/>
      <c r="B157" s="2"/>
      <c r="C157" s="2"/>
      <c r="D157" s="2"/>
      <c r="E157" s="2"/>
      <c r="F157" s="43" t="s">
        <v>34</v>
      </c>
      <c r="G157" s="44">
        <f>IF(E158=C19,E19,IF(AND(E158=C20),E20,IF(AND(E158=C21),E21,IF(AND(E158=C22),E22))))</f>
        <v>5</v>
      </c>
      <c r="H157" s="45" t="s">
        <v>35</v>
      </c>
      <c r="I157" s="2"/>
    </row>
    <row r="158" spans="1:9" ht="15.75" x14ac:dyDescent="0.25">
      <c r="A158" s="2"/>
      <c r="B158" s="766" t="s">
        <v>642</v>
      </c>
      <c r="C158" s="766"/>
      <c r="D158" s="766"/>
      <c r="E158" s="144" t="str">
        <f>F24</f>
        <v>1:8</v>
      </c>
      <c r="F158" s="43" t="s">
        <v>36</v>
      </c>
      <c r="G158" s="46">
        <f>IF(E158=C19,F19,IF(AND(E158=C20),F20,IF(AND(E158=C21),F21,IF(AND(E158=C22),F22))))</f>
        <v>1.1299999999999999</v>
      </c>
      <c r="H158" s="45" t="s">
        <v>37</v>
      </c>
      <c r="I158" s="2"/>
    </row>
    <row r="159" spans="1:9" ht="15.75" x14ac:dyDescent="0.25">
      <c r="A159" s="2"/>
      <c r="B159" s="2"/>
      <c r="C159" s="2"/>
      <c r="D159" s="2"/>
      <c r="E159" s="2"/>
      <c r="F159" s="43" t="s">
        <v>38</v>
      </c>
      <c r="G159" s="230">
        <f>IF(E158=C19,G19,IF(AND(E158=C20),G20,IF(AND(E158=C21),G21,IF(AND(E158=C22),G22))))</f>
        <v>0.17</v>
      </c>
      <c r="H159" s="45" t="s">
        <v>37</v>
      </c>
      <c r="I159" s="2"/>
    </row>
    <row r="160" spans="1:9" x14ac:dyDescent="0.25">
      <c r="A160" s="2"/>
      <c r="B160" s="2"/>
      <c r="C160" s="2"/>
      <c r="D160" s="2"/>
      <c r="E160" s="2"/>
      <c r="F160" s="2"/>
      <c r="G160" s="2"/>
      <c r="H160" s="2"/>
      <c r="I160" s="2"/>
    </row>
    <row r="161" spans="1:10" ht="15.75" x14ac:dyDescent="0.25">
      <c r="A161" s="2"/>
      <c r="B161" s="2"/>
      <c r="C161" s="604" t="s">
        <v>643</v>
      </c>
      <c r="D161" s="604"/>
      <c r="E161" s="604"/>
      <c r="F161" s="176">
        <f>E133</f>
        <v>0.1</v>
      </c>
      <c r="G161" s="25" t="s">
        <v>364</v>
      </c>
      <c r="H161" s="2"/>
      <c r="I161" s="2"/>
    </row>
    <row r="162" spans="1:10" x14ac:dyDescent="0.25">
      <c r="A162" s="2"/>
      <c r="B162" s="2"/>
      <c r="C162" s="2"/>
      <c r="D162" s="2"/>
      <c r="E162" s="2"/>
      <c r="F162" s="2"/>
      <c r="G162" s="2"/>
      <c r="H162" s="2"/>
      <c r="I162" s="2"/>
    </row>
    <row r="163" spans="1:10" ht="15.75" x14ac:dyDescent="0.25">
      <c r="A163" s="2"/>
      <c r="B163" s="47" t="s">
        <v>644</v>
      </c>
      <c r="C163" s="2"/>
      <c r="D163" s="2"/>
      <c r="E163" s="2"/>
      <c r="F163" s="2"/>
      <c r="G163" s="2"/>
      <c r="H163" s="2"/>
      <c r="I163" s="2"/>
    </row>
    <row r="164" spans="1:10" x14ac:dyDescent="0.25">
      <c r="A164" s="2"/>
      <c r="B164" s="2"/>
      <c r="C164" s="2"/>
      <c r="D164" s="2"/>
      <c r="E164" s="2"/>
      <c r="F164" s="2"/>
      <c r="G164" s="2"/>
      <c r="H164" s="2"/>
      <c r="I164" s="2"/>
    </row>
    <row r="165" spans="1:10" ht="15.75" x14ac:dyDescent="0.25">
      <c r="A165" s="2"/>
      <c r="B165" s="2"/>
      <c r="C165" s="48" t="s">
        <v>39</v>
      </c>
      <c r="D165" s="49"/>
      <c r="E165" s="266">
        <f>G157*F161</f>
        <v>0.5</v>
      </c>
      <c r="F165" s="50" t="s">
        <v>365</v>
      </c>
      <c r="G165" s="2"/>
      <c r="H165" s="2"/>
      <c r="I165" s="2"/>
    </row>
    <row r="166" spans="1:10" ht="15.75" x14ac:dyDescent="0.25">
      <c r="A166" s="2"/>
      <c r="B166" s="2"/>
      <c r="C166" s="48" t="s">
        <v>40</v>
      </c>
      <c r="D166" s="49"/>
      <c r="E166" s="266">
        <f>G158*F161</f>
        <v>0.11299999999999999</v>
      </c>
      <c r="F166" s="50" t="s">
        <v>366</v>
      </c>
      <c r="G166" s="2"/>
      <c r="H166" s="2"/>
      <c r="I166" s="2"/>
    </row>
    <row r="167" spans="1:10" ht="15.75" x14ac:dyDescent="0.25">
      <c r="A167" s="2"/>
      <c r="B167" s="2"/>
      <c r="C167" s="48" t="s">
        <v>41</v>
      </c>
      <c r="D167" s="49"/>
      <c r="E167" s="266">
        <f>G159*F161</f>
        <v>1.7000000000000001E-2</v>
      </c>
      <c r="F167" s="50" t="s">
        <v>366</v>
      </c>
      <c r="G167" s="2"/>
      <c r="H167" s="2"/>
      <c r="I167" s="2"/>
    </row>
    <row r="168" spans="1:10" x14ac:dyDescent="0.25">
      <c r="A168" s="2"/>
      <c r="B168" s="2"/>
      <c r="C168" s="2"/>
      <c r="D168" s="2"/>
      <c r="E168" s="2"/>
      <c r="F168" s="2"/>
      <c r="G168" s="2"/>
      <c r="H168" s="2"/>
      <c r="I168" s="2"/>
    </row>
    <row r="169" spans="1:10" ht="15.75" x14ac:dyDescent="0.25">
      <c r="A169" s="2"/>
      <c r="B169" s="47" t="s">
        <v>645</v>
      </c>
      <c r="C169" s="2"/>
      <c r="D169" s="2"/>
      <c r="E169" s="2"/>
      <c r="F169" s="2"/>
      <c r="G169" s="2"/>
      <c r="H169" s="2"/>
      <c r="I169" s="2"/>
    </row>
    <row r="170" spans="1:10" x14ac:dyDescent="0.25">
      <c r="A170" s="2"/>
      <c r="B170" s="2"/>
      <c r="C170" s="24"/>
      <c r="D170" s="24" t="s">
        <v>31</v>
      </c>
      <c r="E170" s="39">
        <f>F40</f>
        <v>0.05</v>
      </c>
      <c r="F170" s="2"/>
      <c r="G170" s="2"/>
      <c r="H170" s="2"/>
      <c r="I170" s="2"/>
    </row>
    <row r="171" spans="1:10" ht="15.75" x14ac:dyDescent="0.25">
      <c r="A171" s="2"/>
      <c r="B171" s="2"/>
      <c r="C171" s="51" t="s">
        <v>39</v>
      </c>
      <c r="D171" s="52"/>
      <c r="E171" s="382">
        <f>E165+E165*E170</f>
        <v>0.52500000000000002</v>
      </c>
      <c r="F171" s="53" t="s">
        <v>365</v>
      </c>
      <c r="G171" s="2"/>
      <c r="H171" s="2"/>
      <c r="I171" s="2"/>
    </row>
    <row r="172" spans="1:10" ht="15.75" x14ac:dyDescent="0.25">
      <c r="A172" s="2"/>
      <c r="B172" s="2"/>
      <c r="C172" s="51" t="s">
        <v>40</v>
      </c>
      <c r="D172" s="52"/>
      <c r="E172" s="382">
        <f>E166+E166*E170</f>
        <v>0.11864999999999999</v>
      </c>
      <c r="F172" s="53" t="s">
        <v>366</v>
      </c>
      <c r="G172" s="2"/>
      <c r="H172" s="2"/>
      <c r="I172" s="2"/>
    </row>
    <row r="173" spans="1:10" ht="15.75" x14ac:dyDescent="0.25">
      <c r="A173" s="2"/>
      <c r="B173" s="2"/>
      <c r="C173" s="51" t="s">
        <v>41</v>
      </c>
      <c r="D173" s="52"/>
      <c r="E173" s="382">
        <f>E167+E167*E170</f>
        <v>1.7850000000000001E-2</v>
      </c>
      <c r="F173" s="53" t="s">
        <v>366</v>
      </c>
      <c r="G173" s="2"/>
      <c r="H173" s="2"/>
      <c r="I173" s="2"/>
    </row>
    <row r="174" spans="1:10" x14ac:dyDescent="0.25">
      <c r="A174" s="2"/>
      <c r="B174" s="2"/>
      <c r="C174" s="2"/>
      <c r="D174" s="2"/>
      <c r="E174" s="2"/>
      <c r="F174" s="2"/>
      <c r="G174" s="2"/>
      <c r="H174" s="2"/>
      <c r="I174" s="2"/>
    </row>
    <row r="175" spans="1:10" x14ac:dyDescent="0.25">
      <c r="A175" s="2"/>
      <c r="B175" s="2"/>
      <c r="C175" s="2"/>
      <c r="D175" s="2"/>
      <c r="E175" s="2"/>
      <c r="F175" s="2"/>
      <c r="G175" s="2"/>
      <c r="H175" s="2"/>
      <c r="I175" s="2"/>
    </row>
    <row r="176" spans="1:10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54"/>
    </row>
    <row r="177" spans="1:9" x14ac:dyDescent="0.25">
      <c r="A177" s="537" t="s">
        <v>646</v>
      </c>
      <c r="B177" s="537"/>
      <c r="C177" s="537"/>
      <c r="D177" s="537"/>
      <c r="E177" s="537"/>
      <c r="F177" s="537"/>
      <c r="G177" s="537"/>
      <c r="H177" s="537"/>
      <c r="I177" s="2"/>
    </row>
    <row r="178" spans="1:9" x14ac:dyDescent="0.25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5">
      <c r="A179" s="2"/>
      <c r="B179" s="2"/>
      <c r="C179" s="55" t="s">
        <v>39</v>
      </c>
      <c r="D179" s="56"/>
      <c r="E179" s="40">
        <f>E171*G123</f>
        <v>47.25</v>
      </c>
      <c r="F179" s="41" t="s">
        <v>35</v>
      </c>
      <c r="G179" s="57"/>
      <c r="H179" s="2"/>
      <c r="I179" s="58"/>
    </row>
    <row r="180" spans="1:9" ht="15.75" x14ac:dyDescent="0.25">
      <c r="A180" s="2"/>
      <c r="B180" s="2"/>
      <c r="C180" s="55" t="s">
        <v>40</v>
      </c>
      <c r="D180" s="56"/>
      <c r="E180" s="40">
        <f>E172*G123</f>
        <v>10.6785</v>
      </c>
      <c r="F180" s="41" t="s">
        <v>42</v>
      </c>
      <c r="G180" s="57"/>
      <c r="H180" s="2"/>
      <c r="I180" s="58"/>
    </row>
    <row r="181" spans="1:9" ht="15.75" x14ac:dyDescent="0.25">
      <c r="A181" s="2"/>
      <c r="B181" s="2"/>
      <c r="C181" s="55" t="s">
        <v>41</v>
      </c>
      <c r="D181" s="56"/>
      <c r="E181" s="59">
        <f>E173*G123</f>
        <v>1.6065</v>
      </c>
      <c r="F181" s="41" t="s">
        <v>42</v>
      </c>
      <c r="G181" s="60"/>
      <c r="H181" s="2"/>
      <c r="I181" s="58"/>
    </row>
    <row r="182" spans="1:9" x14ac:dyDescent="0.25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5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5">
      <c r="A184" s="2"/>
      <c r="B184" s="2"/>
      <c r="C184" s="2"/>
      <c r="D184" s="2"/>
      <c r="E184" s="2"/>
      <c r="F184" s="2"/>
      <c r="G184" s="2"/>
      <c r="H184" s="2"/>
      <c r="I184" s="2"/>
    </row>
    <row r="185" spans="1:9" ht="15.75" x14ac:dyDescent="0.25">
      <c r="A185" s="5" t="s">
        <v>647</v>
      </c>
      <c r="B185" s="2"/>
      <c r="C185" s="2"/>
      <c r="D185" s="2"/>
      <c r="E185" s="2"/>
      <c r="F185" s="2"/>
      <c r="G185" s="2"/>
      <c r="H185" s="2"/>
      <c r="I185" s="2"/>
    </row>
    <row r="186" spans="1:9" x14ac:dyDescent="0.25">
      <c r="A186" s="2"/>
      <c r="B186" s="2"/>
      <c r="C186" s="6"/>
      <c r="D186" s="42"/>
      <c r="E186" s="42"/>
      <c r="F186" s="2"/>
      <c r="G186" s="2"/>
      <c r="H186" s="2"/>
      <c r="I186" s="2"/>
    </row>
    <row r="187" spans="1:9" x14ac:dyDescent="0.25">
      <c r="A187" s="2"/>
      <c r="B187" s="2"/>
      <c r="C187" s="25" t="s">
        <v>33</v>
      </c>
      <c r="D187" s="2"/>
      <c r="E187" s="2"/>
      <c r="F187" s="2"/>
      <c r="G187" s="2"/>
      <c r="H187" s="2"/>
      <c r="I187" s="2"/>
    </row>
    <row r="188" spans="1:9" ht="15.75" x14ac:dyDescent="0.25">
      <c r="A188" s="2"/>
      <c r="B188" s="2"/>
      <c r="C188" s="2"/>
      <c r="D188" s="2"/>
      <c r="E188" s="2"/>
      <c r="F188" s="587" t="s">
        <v>648</v>
      </c>
      <c r="G188" s="587"/>
      <c r="H188" s="587"/>
      <c r="I188" s="2"/>
    </row>
    <row r="189" spans="1:9" x14ac:dyDescent="0.25">
      <c r="A189" s="2"/>
      <c r="B189" s="2"/>
      <c r="C189" s="2"/>
      <c r="D189" s="2"/>
      <c r="E189" s="2"/>
      <c r="F189" s="43" t="s">
        <v>34</v>
      </c>
      <c r="G189" s="44">
        <f>IF(E190=C32,E32,IF(AND(E190=C33),E33,IF(AND(E190=C34),E34)))</f>
        <v>7.4</v>
      </c>
      <c r="H189" s="45" t="s">
        <v>35</v>
      </c>
      <c r="I189" s="2"/>
    </row>
    <row r="190" spans="1:9" ht="15.75" x14ac:dyDescent="0.25">
      <c r="A190" s="2"/>
      <c r="B190" s="766" t="s">
        <v>649</v>
      </c>
      <c r="C190" s="766"/>
      <c r="D190" s="766"/>
      <c r="E190" s="144" t="str">
        <f>F36</f>
        <v>1:5</v>
      </c>
      <c r="F190" s="43" t="s">
        <v>650</v>
      </c>
      <c r="G190" s="46">
        <f>IF(E190=C32,F32,IF(AND(E190=C33),F33,IF(AND(E190=C34),F34)))</f>
        <v>1.05</v>
      </c>
      <c r="H190" s="45" t="s">
        <v>37</v>
      </c>
      <c r="I190" s="2"/>
    </row>
    <row r="191" spans="1:9" x14ac:dyDescent="0.25">
      <c r="A191" s="2"/>
      <c r="B191" s="2"/>
      <c r="C191" s="2"/>
      <c r="D191" s="2"/>
      <c r="E191" s="2"/>
      <c r="F191" s="43" t="s">
        <v>38</v>
      </c>
      <c r="G191" s="230">
        <f>IF(E190=C32,G32,IF(AND(E190=C33),G33,IF(AND(E190=C34),G34)))</f>
        <v>268</v>
      </c>
      <c r="H191" s="45" t="s">
        <v>574</v>
      </c>
      <c r="I191" s="2"/>
    </row>
    <row r="192" spans="1:9" x14ac:dyDescent="0.25">
      <c r="A192" s="2"/>
      <c r="B192" s="2"/>
      <c r="C192" s="2"/>
      <c r="D192" s="2"/>
      <c r="E192" s="2"/>
      <c r="F192" s="2"/>
      <c r="G192" s="2"/>
      <c r="H192" s="2"/>
      <c r="I192" s="2"/>
    </row>
    <row r="193" spans="1:10" ht="15.75" x14ac:dyDescent="0.25">
      <c r="A193" s="2"/>
      <c r="B193" s="2"/>
      <c r="C193" s="604" t="s">
        <v>651</v>
      </c>
      <c r="D193" s="604"/>
      <c r="E193" s="604"/>
      <c r="F193" s="176">
        <f>E144</f>
        <v>0.03</v>
      </c>
      <c r="G193" s="25" t="s">
        <v>364</v>
      </c>
      <c r="H193" s="2"/>
      <c r="I193" s="2"/>
    </row>
    <row r="194" spans="1:10" x14ac:dyDescent="0.25">
      <c r="A194" s="2"/>
      <c r="B194" s="2"/>
      <c r="C194" s="2"/>
      <c r="D194" s="2"/>
      <c r="E194" s="2"/>
      <c r="F194" s="2"/>
      <c r="G194" s="2"/>
      <c r="H194" s="2"/>
      <c r="I194" s="2"/>
    </row>
    <row r="195" spans="1:10" ht="15.75" x14ac:dyDescent="0.25">
      <c r="A195" s="2"/>
      <c r="B195" s="47" t="s">
        <v>652</v>
      </c>
      <c r="C195" s="2"/>
      <c r="D195" s="2"/>
      <c r="E195" s="2"/>
      <c r="F195" s="2"/>
      <c r="G195" s="2"/>
      <c r="H195" s="2"/>
      <c r="I195" s="2"/>
    </row>
    <row r="196" spans="1:10" x14ac:dyDescent="0.25">
      <c r="A196" s="2"/>
      <c r="B196" s="2"/>
      <c r="C196" s="2"/>
      <c r="D196" s="2"/>
      <c r="E196" s="2"/>
      <c r="F196" s="2"/>
      <c r="G196" s="2"/>
      <c r="H196" s="2"/>
      <c r="I196" s="2"/>
    </row>
    <row r="197" spans="1:10" ht="15.75" x14ac:dyDescent="0.25">
      <c r="A197" s="2"/>
      <c r="B197" s="2"/>
      <c r="C197" s="48" t="s">
        <v>39</v>
      </c>
      <c r="D197" s="49"/>
      <c r="E197" s="266">
        <f>G189*F193</f>
        <v>0.222</v>
      </c>
      <c r="F197" s="50" t="s">
        <v>365</v>
      </c>
      <c r="G197" s="2"/>
      <c r="H197" s="2"/>
      <c r="I197" s="2"/>
    </row>
    <row r="198" spans="1:10" ht="15.75" x14ac:dyDescent="0.25">
      <c r="A198" s="2"/>
      <c r="B198" s="2"/>
      <c r="C198" s="48" t="s">
        <v>623</v>
      </c>
      <c r="D198" s="49"/>
      <c r="E198" s="266">
        <f>G190*F193</f>
        <v>3.15E-2</v>
      </c>
      <c r="F198" s="50" t="s">
        <v>366</v>
      </c>
      <c r="G198" s="2"/>
      <c r="H198" s="2"/>
      <c r="I198" s="2"/>
    </row>
    <row r="199" spans="1:10" ht="15.75" x14ac:dyDescent="0.25">
      <c r="A199" s="2"/>
      <c r="B199" s="2"/>
      <c r="C199" s="48" t="s">
        <v>41</v>
      </c>
      <c r="D199" s="49"/>
      <c r="E199" s="266">
        <f>(G191*F193)/1000</f>
        <v>8.0399999999999985E-3</v>
      </c>
      <c r="F199" s="50" t="s">
        <v>366</v>
      </c>
      <c r="G199" s="2"/>
      <c r="H199" s="2"/>
      <c r="I199" s="2"/>
    </row>
    <row r="200" spans="1:10" x14ac:dyDescent="0.25">
      <c r="A200" s="2"/>
      <c r="B200" s="2"/>
      <c r="C200" s="2"/>
      <c r="D200" s="2"/>
      <c r="E200" s="2"/>
      <c r="F200" s="2"/>
      <c r="G200" s="2"/>
      <c r="H200" s="2"/>
      <c r="I200" s="2"/>
    </row>
    <row r="201" spans="1:10" ht="15.75" x14ac:dyDescent="0.25">
      <c r="A201" s="2"/>
      <c r="B201" s="47" t="s">
        <v>653</v>
      </c>
      <c r="C201" s="2"/>
      <c r="D201" s="2"/>
      <c r="E201" s="2"/>
      <c r="F201" s="2"/>
      <c r="G201" s="2"/>
      <c r="H201" s="2"/>
      <c r="I201" s="2"/>
    </row>
    <row r="202" spans="1:10" x14ac:dyDescent="0.25">
      <c r="A202" s="2"/>
      <c r="B202" s="2"/>
      <c r="C202" s="24"/>
      <c r="D202" s="24" t="s">
        <v>554</v>
      </c>
      <c r="E202" s="39">
        <f>F41</f>
        <v>0.05</v>
      </c>
      <c r="F202" s="2"/>
      <c r="G202" s="2"/>
      <c r="H202" s="2"/>
      <c r="I202" s="2"/>
    </row>
    <row r="203" spans="1:10" ht="15.75" x14ac:dyDescent="0.25">
      <c r="A203" s="2"/>
      <c r="B203" s="2"/>
      <c r="C203" s="51" t="s">
        <v>39</v>
      </c>
      <c r="D203" s="52"/>
      <c r="E203" s="382">
        <f>E197+E197*E202</f>
        <v>0.2331</v>
      </c>
      <c r="F203" s="53" t="s">
        <v>365</v>
      </c>
      <c r="G203" s="2"/>
      <c r="H203" s="2"/>
      <c r="I203" s="2"/>
    </row>
    <row r="204" spans="1:10" ht="15.75" x14ac:dyDescent="0.25">
      <c r="A204" s="2"/>
      <c r="B204" s="2"/>
      <c r="C204" s="51" t="s">
        <v>623</v>
      </c>
      <c r="D204" s="52"/>
      <c r="E204" s="382">
        <f>E198+E198*E202</f>
        <v>3.3075E-2</v>
      </c>
      <c r="F204" s="53" t="s">
        <v>366</v>
      </c>
      <c r="G204" s="2"/>
      <c r="H204" s="2"/>
      <c r="I204" s="2"/>
    </row>
    <row r="205" spans="1:10" ht="15.75" x14ac:dyDescent="0.25">
      <c r="A205" s="2"/>
      <c r="B205" s="2"/>
      <c r="C205" s="51" t="s">
        <v>41</v>
      </c>
      <c r="D205" s="52"/>
      <c r="E205" s="382">
        <f>E199+E199*E202</f>
        <v>8.4419999999999981E-3</v>
      </c>
      <c r="F205" s="53" t="s">
        <v>366</v>
      </c>
      <c r="G205" s="2"/>
      <c r="H205" s="2"/>
      <c r="I205" s="2"/>
    </row>
    <row r="206" spans="1:10" x14ac:dyDescent="0.25">
      <c r="A206" s="2"/>
      <c r="B206" s="2"/>
      <c r="C206" s="2"/>
      <c r="D206" s="2"/>
      <c r="E206" s="2"/>
      <c r="F206" s="2"/>
      <c r="G206" s="2"/>
      <c r="H206" s="2"/>
      <c r="I206" s="2"/>
    </row>
    <row r="207" spans="1:10" x14ac:dyDescent="0.25">
      <c r="A207" s="2"/>
      <c r="B207" s="2"/>
      <c r="C207" s="2"/>
      <c r="D207" s="2"/>
      <c r="E207" s="2"/>
      <c r="F207" s="2"/>
      <c r="G207" s="2"/>
      <c r="H207" s="2"/>
      <c r="I207" s="2"/>
    </row>
    <row r="208" spans="1:10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54"/>
    </row>
    <row r="209" spans="1:9" x14ac:dyDescent="0.25">
      <c r="A209" s="537" t="s">
        <v>654</v>
      </c>
      <c r="B209" s="537"/>
      <c r="C209" s="537"/>
      <c r="D209" s="537"/>
      <c r="E209" s="537"/>
      <c r="F209" s="537"/>
      <c r="G209" s="537"/>
      <c r="H209" s="537"/>
      <c r="I209" s="2"/>
    </row>
    <row r="210" spans="1:9" x14ac:dyDescent="0.25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5">
      <c r="A211" s="2"/>
      <c r="B211" s="2"/>
      <c r="C211" s="55" t="s">
        <v>39</v>
      </c>
      <c r="D211" s="56"/>
      <c r="E211" s="40">
        <f>E203*G124</f>
        <v>20.978999999999999</v>
      </c>
      <c r="F211" s="41" t="s">
        <v>35</v>
      </c>
      <c r="G211" s="57"/>
      <c r="H211" s="2"/>
      <c r="I211" s="58"/>
    </row>
    <row r="212" spans="1:9" ht="15.75" x14ac:dyDescent="0.25">
      <c r="A212" s="2"/>
      <c r="B212" s="2"/>
      <c r="C212" s="55" t="s">
        <v>623</v>
      </c>
      <c r="D212" s="56"/>
      <c r="E212" s="40">
        <f>E204*G124</f>
        <v>2.97675</v>
      </c>
      <c r="F212" s="41" t="s">
        <v>42</v>
      </c>
      <c r="G212" s="57"/>
      <c r="H212" s="2"/>
      <c r="I212" s="58"/>
    </row>
    <row r="213" spans="1:9" ht="15.75" x14ac:dyDescent="0.25">
      <c r="A213" s="2"/>
      <c r="B213" s="2"/>
      <c r="C213" s="55" t="s">
        <v>41</v>
      </c>
      <c r="D213" s="56"/>
      <c r="E213" s="59">
        <f>E205*G124</f>
        <v>0.75977999999999979</v>
      </c>
      <c r="F213" s="41" t="s">
        <v>42</v>
      </c>
      <c r="G213" s="60"/>
      <c r="H213" s="2"/>
      <c r="I213" s="58"/>
    </row>
    <row r="214" spans="1:9" x14ac:dyDescent="0.25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5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5">
      <c r="A216" s="2"/>
      <c r="B216" s="2"/>
      <c r="C216" s="2"/>
      <c r="D216" s="2"/>
      <c r="E216" s="2"/>
      <c r="F216" s="2"/>
      <c r="G216" s="2"/>
      <c r="H216" s="2"/>
      <c r="I216" s="2"/>
    </row>
    <row r="217" spans="1:9" ht="15.75" x14ac:dyDescent="0.25">
      <c r="A217" s="765" t="s">
        <v>43</v>
      </c>
      <c r="B217" s="765"/>
      <c r="C217" s="765"/>
      <c r="E217" s="2"/>
      <c r="F217" s="2"/>
      <c r="G217" s="2"/>
      <c r="I217" s="2"/>
    </row>
    <row r="218" spans="1:9" x14ac:dyDescent="0.25">
      <c r="A218" s="2"/>
      <c r="B218" s="2"/>
      <c r="C218" s="2"/>
      <c r="D218" s="2"/>
      <c r="E218" s="61"/>
      <c r="F218" s="62"/>
      <c r="G218" s="63"/>
      <c r="H218" s="2"/>
      <c r="I218" s="2"/>
    </row>
    <row r="219" spans="1:9" x14ac:dyDescent="0.25">
      <c r="A219" s="2"/>
      <c r="B219" s="2"/>
      <c r="C219" s="2"/>
      <c r="D219" s="2"/>
      <c r="E219" s="64"/>
      <c r="F219" s="65"/>
      <c r="G219" s="66"/>
      <c r="H219" s="2"/>
      <c r="I219" s="2"/>
    </row>
    <row r="220" spans="1:9" x14ac:dyDescent="0.25">
      <c r="A220" s="2"/>
      <c r="B220" s="2"/>
      <c r="C220" s="2"/>
      <c r="D220" s="2"/>
      <c r="E220" s="2"/>
      <c r="F220" s="2"/>
      <c r="G220" s="2"/>
      <c r="I220" s="2"/>
    </row>
    <row r="221" spans="1:9" x14ac:dyDescent="0.25">
      <c r="A221" s="2"/>
      <c r="B221" s="2"/>
      <c r="C221" s="2"/>
      <c r="D221" s="596" t="s">
        <v>44</v>
      </c>
      <c r="E221" s="596"/>
      <c r="F221" s="67">
        <f>C45</f>
        <v>8</v>
      </c>
      <c r="G221" s="25" t="s">
        <v>7</v>
      </c>
      <c r="H221" s="2"/>
      <c r="I221" s="2"/>
    </row>
    <row r="222" spans="1:9" x14ac:dyDescent="0.25">
      <c r="A222" s="2"/>
      <c r="B222" s="2"/>
      <c r="C222" s="2"/>
      <c r="D222" s="2"/>
      <c r="E222" s="2"/>
      <c r="F222" s="2"/>
      <c r="G222" s="2"/>
      <c r="H222" s="2"/>
      <c r="I222" s="2"/>
    </row>
    <row r="223" spans="1:9" ht="15.75" x14ac:dyDescent="0.25">
      <c r="A223" s="2"/>
      <c r="B223" s="22" t="s">
        <v>655</v>
      </c>
      <c r="C223" s="2"/>
      <c r="D223" s="2"/>
      <c r="E223" s="2"/>
      <c r="F223" s="2"/>
      <c r="G223" s="2"/>
      <c r="H223" s="2"/>
      <c r="I223" s="2"/>
    </row>
    <row r="224" spans="1:9" ht="15.75" x14ac:dyDescent="0.25">
      <c r="A224" s="2"/>
      <c r="B224" s="2"/>
      <c r="C224" s="499" t="s">
        <v>45</v>
      </c>
      <c r="D224" s="499"/>
      <c r="E224" s="68">
        <f>C49</f>
        <v>110</v>
      </c>
      <c r="F224" s="2" t="s">
        <v>310</v>
      </c>
      <c r="G224" s="2"/>
      <c r="H224" s="2"/>
      <c r="I224" s="2"/>
    </row>
    <row r="225" spans="1:9" x14ac:dyDescent="0.25">
      <c r="A225" s="2"/>
      <c r="B225" s="2"/>
      <c r="C225" s="500" t="s">
        <v>46</v>
      </c>
      <c r="D225" s="501"/>
      <c r="E225" s="504" t="s">
        <v>47</v>
      </c>
      <c r="F225" s="505" t="s">
        <v>48</v>
      </c>
      <c r="G225" s="507" t="s">
        <v>49</v>
      </c>
      <c r="H225" s="2"/>
      <c r="I225" s="2"/>
    </row>
    <row r="226" spans="1:9" x14ac:dyDescent="0.25">
      <c r="A226" s="2"/>
      <c r="B226" s="2"/>
      <c r="C226" s="614"/>
      <c r="D226" s="615"/>
      <c r="E226" s="504"/>
      <c r="F226" s="506"/>
      <c r="G226" s="507"/>
      <c r="H226" s="2"/>
      <c r="I226" s="2"/>
    </row>
    <row r="227" spans="1:9" x14ac:dyDescent="0.25">
      <c r="A227" s="2"/>
      <c r="B227" s="2"/>
      <c r="C227" s="508" t="str">
        <f>A49</f>
        <v>FALSO PISO</v>
      </c>
      <c r="D227" s="509"/>
      <c r="E227" s="69" t="s">
        <v>11</v>
      </c>
      <c r="F227" s="70">
        <f>D49</f>
        <v>0.2</v>
      </c>
      <c r="G227" s="71">
        <f>(F227*$F$221)/$E$224</f>
        <v>1.4545454545454545E-2</v>
      </c>
      <c r="H227" s="2"/>
      <c r="I227" s="2"/>
    </row>
    <row r="228" spans="1:9" x14ac:dyDescent="0.25">
      <c r="A228" s="2"/>
      <c r="B228" s="2"/>
      <c r="C228" s="606"/>
      <c r="D228" s="607"/>
      <c r="E228" s="69" t="s">
        <v>12</v>
      </c>
      <c r="F228" s="70">
        <f>E49</f>
        <v>2</v>
      </c>
      <c r="G228" s="71">
        <f t="shared" ref="G228:G231" si="2">(F228*$F$221)/$E$224</f>
        <v>0.14545454545454545</v>
      </c>
      <c r="H228" s="2"/>
      <c r="I228" s="2"/>
    </row>
    <row r="229" spans="1:9" x14ac:dyDescent="0.25">
      <c r="A229" s="2"/>
      <c r="B229" s="2"/>
      <c r="C229" s="237" t="s">
        <v>381</v>
      </c>
      <c r="D229" s="383">
        <f>B50</f>
        <v>10</v>
      </c>
      <c r="E229" s="69" t="s">
        <v>13</v>
      </c>
      <c r="F229" s="70">
        <f>F49</f>
        <v>1</v>
      </c>
      <c r="G229" s="71">
        <f t="shared" si="2"/>
        <v>7.2727272727272724E-2</v>
      </c>
      <c r="H229" s="2"/>
      <c r="I229" s="2"/>
    </row>
    <row r="230" spans="1:9" ht="15.75" customHeight="1" x14ac:dyDescent="0.25">
      <c r="A230" s="2"/>
      <c r="B230" s="2"/>
      <c r="C230" s="237" t="s">
        <v>382</v>
      </c>
      <c r="D230" s="276" t="str">
        <f>F24</f>
        <v>1:8</v>
      </c>
      <c r="E230" s="69" t="s">
        <v>14</v>
      </c>
      <c r="F230" s="70">
        <f>G49</f>
        <v>6</v>
      </c>
      <c r="G230" s="71">
        <f t="shared" si="2"/>
        <v>0.43636363636363634</v>
      </c>
      <c r="H230" s="2"/>
      <c r="I230" s="2"/>
    </row>
    <row r="231" spans="1:9" ht="15.75" customHeight="1" x14ac:dyDescent="0.25">
      <c r="A231" s="2"/>
      <c r="B231" s="2"/>
      <c r="C231" s="72"/>
      <c r="D231" s="73"/>
      <c r="E231" s="74" t="s">
        <v>50</v>
      </c>
      <c r="F231" s="70">
        <f>H49</f>
        <v>1</v>
      </c>
      <c r="G231" s="71">
        <f t="shared" si="2"/>
        <v>7.2727272727272724E-2</v>
      </c>
      <c r="H231" s="2"/>
      <c r="I231" s="2"/>
    </row>
    <row r="232" spans="1:9" x14ac:dyDescent="0.25">
      <c r="A232" s="2"/>
      <c r="B232" s="2"/>
      <c r="C232" s="2"/>
      <c r="D232" s="2"/>
      <c r="E232" s="2"/>
      <c r="F232" s="2"/>
      <c r="G232" s="2"/>
      <c r="H232" s="2"/>
      <c r="I232" s="2"/>
    </row>
    <row r="233" spans="1:9" ht="15.75" x14ac:dyDescent="0.25">
      <c r="A233" s="2"/>
      <c r="B233" s="22" t="s">
        <v>656</v>
      </c>
      <c r="C233" s="2"/>
      <c r="D233" s="2"/>
      <c r="E233" s="2"/>
      <c r="F233" s="2"/>
      <c r="G233" s="2"/>
      <c r="H233" s="2"/>
      <c r="I233" s="2"/>
    </row>
    <row r="234" spans="1:9" ht="15.75" x14ac:dyDescent="0.25">
      <c r="A234" s="2"/>
      <c r="B234" s="2"/>
      <c r="C234" s="499" t="s">
        <v>45</v>
      </c>
      <c r="D234" s="499"/>
      <c r="E234" s="68">
        <f>C51</f>
        <v>100</v>
      </c>
      <c r="F234" s="2" t="s">
        <v>310</v>
      </c>
      <c r="G234" s="2"/>
      <c r="H234" s="2"/>
      <c r="I234" s="2"/>
    </row>
    <row r="235" spans="1:9" x14ac:dyDescent="0.25">
      <c r="A235" s="2"/>
      <c r="B235" s="2"/>
      <c r="C235" s="500" t="s">
        <v>46</v>
      </c>
      <c r="D235" s="501"/>
      <c r="E235" s="504" t="s">
        <v>47</v>
      </c>
      <c r="F235" s="505" t="s">
        <v>48</v>
      </c>
      <c r="G235" s="507" t="s">
        <v>49</v>
      </c>
      <c r="H235" s="2"/>
      <c r="I235" s="2"/>
    </row>
    <row r="236" spans="1:9" x14ac:dyDescent="0.25">
      <c r="A236" s="2"/>
      <c r="B236" s="2"/>
      <c r="C236" s="614"/>
      <c r="D236" s="615"/>
      <c r="E236" s="504"/>
      <c r="F236" s="506"/>
      <c r="G236" s="507"/>
      <c r="H236" s="2"/>
      <c r="I236" s="2"/>
    </row>
    <row r="237" spans="1:9" x14ac:dyDescent="0.25">
      <c r="A237" s="2"/>
      <c r="B237" s="2"/>
      <c r="C237" s="508" t="str">
        <f>A51</f>
        <v>CONTRAPISO</v>
      </c>
      <c r="D237" s="509"/>
      <c r="E237" s="69" t="s">
        <v>11</v>
      </c>
      <c r="F237" s="70">
        <f>D51</f>
        <v>0.3</v>
      </c>
      <c r="G237" s="71">
        <f>(F237*$F$221)/$E$234</f>
        <v>2.4E-2</v>
      </c>
      <c r="H237" s="2"/>
      <c r="I237" s="2"/>
    </row>
    <row r="238" spans="1:9" x14ac:dyDescent="0.25">
      <c r="A238" s="2"/>
      <c r="B238" s="2"/>
      <c r="C238" s="606"/>
      <c r="D238" s="607"/>
      <c r="E238" s="69" t="s">
        <v>12</v>
      </c>
      <c r="F238" s="70">
        <f>E51</f>
        <v>3</v>
      </c>
      <c r="G238" s="71">
        <f t="shared" ref="G238:G241" si="3">(F238*$F$221)/$E$234</f>
        <v>0.24</v>
      </c>
      <c r="H238" s="2"/>
      <c r="I238" s="2"/>
    </row>
    <row r="239" spans="1:9" x14ac:dyDescent="0.25">
      <c r="A239" s="2"/>
      <c r="B239" s="2"/>
      <c r="C239" s="237" t="s">
        <v>381</v>
      </c>
      <c r="D239" s="383">
        <f>B52</f>
        <v>3</v>
      </c>
      <c r="E239" s="69" t="s">
        <v>13</v>
      </c>
      <c r="F239" s="70">
        <f>F51</f>
        <v>1</v>
      </c>
      <c r="G239" s="71">
        <f t="shared" si="3"/>
        <v>0.08</v>
      </c>
      <c r="H239" s="2"/>
      <c r="I239" s="2"/>
    </row>
    <row r="240" spans="1:9" ht="15.75" customHeight="1" x14ac:dyDescent="0.25">
      <c r="A240" s="2"/>
      <c r="B240" s="2"/>
      <c r="C240" s="237" t="s">
        <v>382</v>
      </c>
      <c r="D240" s="276" t="str">
        <f>F36</f>
        <v>1:5</v>
      </c>
      <c r="E240" s="69" t="s">
        <v>14</v>
      </c>
      <c r="F240" s="70">
        <f>G51</f>
        <v>6</v>
      </c>
      <c r="G240" s="71">
        <f t="shared" si="3"/>
        <v>0.48</v>
      </c>
      <c r="H240" s="2"/>
      <c r="I240" s="2"/>
    </row>
    <row r="241" spans="1:9" x14ac:dyDescent="0.25">
      <c r="A241" s="2"/>
      <c r="B241" s="2"/>
      <c r="C241" s="384"/>
      <c r="D241" s="385"/>
      <c r="E241" s="69" t="s">
        <v>50</v>
      </c>
      <c r="F241" s="11">
        <f>H51</f>
        <v>1</v>
      </c>
      <c r="G241" s="71">
        <f t="shared" si="3"/>
        <v>0.08</v>
      </c>
      <c r="I241" s="2"/>
    </row>
    <row r="242" spans="1:9" x14ac:dyDescent="0.25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5">
      <c r="A243" s="2"/>
      <c r="B243" s="2"/>
      <c r="C243" s="2"/>
      <c r="D243" s="2"/>
      <c r="E243" s="2"/>
      <c r="F243" s="2"/>
      <c r="G243" s="2"/>
      <c r="H243" s="2"/>
      <c r="I243" s="2"/>
    </row>
    <row r="244" spans="1:9" ht="15.75" x14ac:dyDescent="0.25">
      <c r="A244" s="764" t="s">
        <v>51</v>
      </c>
      <c r="B244" s="764"/>
      <c r="C244" s="764"/>
      <c r="D244" s="764"/>
      <c r="E244" s="2"/>
      <c r="F244" s="2"/>
      <c r="G244" s="2"/>
      <c r="H244" s="2"/>
      <c r="I244" s="2"/>
    </row>
    <row r="245" spans="1:9" x14ac:dyDescent="0.25">
      <c r="A245" s="2"/>
      <c r="B245" s="2"/>
      <c r="C245" s="2"/>
      <c r="D245" s="2"/>
      <c r="E245" s="2"/>
      <c r="F245" s="2"/>
      <c r="G245" s="2"/>
      <c r="H245" s="2"/>
      <c r="I245" s="2"/>
    </row>
    <row r="246" spans="1:9" ht="15.75" x14ac:dyDescent="0.25">
      <c r="A246" s="2"/>
      <c r="B246" s="22" t="s">
        <v>657</v>
      </c>
      <c r="C246" s="2"/>
      <c r="D246" s="2"/>
      <c r="E246" s="2"/>
      <c r="F246" s="2"/>
      <c r="G246" s="2"/>
      <c r="H246" s="2"/>
      <c r="I246" s="2"/>
    </row>
    <row r="247" spans="1:9" ht="15.75" x14ac:dyDescent="0.25">
      <c r="A247" s="2"/>
      <c r="B247" s="2"/>
      <c r="C247" s="499" t="s">
        <v>45</v>
      </c>
      <c r="D247" s="499"/>
      <c r="E247" s="68">
        <f>C49</f>
        <v>110</v>
      </c>
      <c r="F247" s="2" t="s">
        <v>310</v>
      </c>
      <c r="G247" s="2"/>
      <c r="H247" s="2"/>
      <c r="I247" s="2"/>
    </row>
    <row r="248" spans="1:9" x14ac:dyDescent="0.25">
      <c r="A248" s="2"/>
      <c r="B248" s="2"/>
      <c r="C248" s="500" t="s">
        <v>46</v>
      </c>
      <c r="D248" s="501"/>
      <c r="E248" s="504" t="s">
        <v>52</v>
      </c>
      <c r="F248" s="505" t="s">
        <v>48</v>
      </c>
      <c r="G248" s="507" t="s">
        <v>53</v>
      </c>
      <c r="H248" s="2"/>
      <c r="I248" s="2"/>
    </row>
    <row r="249" spans="1:9" x14ac:dyDescent="0.25">
      <c r="A249" s="2"/>
      <c r="B249" s="2"/>
      <c r="C249" s="502"/>
      <c r="D249" s="503"/>
      <c r="E249" s="504"/>
      <c r="F249" s="506"/>
      <c r="G249" s="507"/>
      <c r="H249" s="2"/>
      <c r="I249" s="2"/>
    </row>
    <row r="250" spans="1:9" x14ac:dyDescent="0.25">
      <c r="A250" s="2"/>
      <c r="B250" s="2"/>
      <c r="C250" s="508" t="str">
        <f>C227</f>
        <v>FALSO PISO</v>
      </c>
      <c r="D250" s="509"/>
      <c r="E250" s="512" t="s">
        <v>54</v>
      </c>
      <c r="F250" s="514">
        <f>E57</f>
        <v>1</v>
      </c>
      <c r="G250" s="516">
        <f>(F250*F221)/E247</f>
        <v>7.2727272727272724E-2</v>
      </c>
      <c r="H250" s="2"/>
      <c r="I250" s="2"/>
    </row>
    <row r="251" spans="1:9" ht="21.75" customHeight="1" x14ac:dyDescent="0.25">
      <c r="A251" s="2"/>
      <c r="B251" s="2"/>
      <c r="C251" s="510"/>
      <c r="D251" s="511"/>
      <c r="E251" s="513"/>
      <c r="F251" s="515"/>
      <c r="G251" s="517"/>
      <c r="H251" s="2"/>
      <c r="I251" s="2"/>
    </row>
    <row r="252" spans="1:9" x14ac:dyDescent="0.25">
      <c r="A252" s="2"/>
      <c r="B252" s="2"/>
      <c r="C252" s="2"/>
      <c r="D252" s="2"/>
      <c r="E252" s="2"/>
      <c r="F252" s="2"/>
      <c r="G252" s="2"/>
      <c r="H252" s="2"/>
      <c r="I252" s="2"/>
    </row>
    <row r="253" spans="1:9" ht="15.75" x14ac:dyDescent="0.25">
      <c r="A253" s="2"/>
      <c r="B253" s="22" t="s">
        <v>658</v>
      </c>
      <c r="C253" s="2"/>
      <c r="D253" s="2"/>
      <c r="E253" s="2"/>
      <c r="F253" s="2"/>
      <c r="G253" s="2"/>
      <c r="H253" s="2"/>
      <c r="I253" s="2"/>
    </row>
    <row r="254" spans="1:9" ht="15.75" x14ac:dyDescent="0.25">
      <c r="A254" s="2"/>
      <c r="B254" s="2"/>
      <c r="C254" s="499" t="s">
        <v>45</v>
      </c>
      <c r="D254" s="499"/>
      <c r="E254" s="68">
        <f>C51</f>
        <v>100</v>
      </c>
      <c r="F254" s="2" t="s">
        <v>310</v>
      </c>
      <c r="G254" s="2"/>
      <c r="H254" s="2"/>
      <c r="I254" s="2"/>
    </row>
    <row r="255" spans="1:9" x14ac:dyDescent="0.25">
      <c r="A255" s="2"/>
      <c r="B255" s="2"/>
      <c r="C255" s="500" t="s">
        <v>46</v>
      </c>
      <c r="D255" s="501"/>
      <c r="E255" s="504" t="s">
        <v>52</v>
      </c>
      <c r="F255" s="505" t="s">
        <v>48</v>
      </c>
      <c r="G255" s="507" t="s">
        <v>53</v>
      </c>
      <c r="H255" s="2"/>
      <c r="I255" s="2"/>
    </row>
    <row r="256" spans="1:9" x14ac:dyDescent="0.25">
      <c r="A256" s="2"/>
      <c r="B256" s="2"/>
      <c r="C256" s="502"/>
      <c r="D256" s="503"/>
      <c r="E256" s="504"/>
      <c r="F256" s="506"/>
      <c r="G256" s="507"/>
      <c r="H256" s="2"/>
      <c r="I256" s="2"/>
    </row>
    <row r="257" spans="1:12" x14ac:dyDescent="0.25">
      <c r="A257" s="2"/>
      <c r="B257" s="2"/>
      <c r="C257" s="508" t="str">
        <f>A51</f>
        <v>CONTRAPISO</v>
      </c>
      <c r="D257" s="509"/>
      <c r="E257" s="512" t="s">
        <v>54</v>
      </c>
      <c r="F257" s="514">
        <f>E57</f>
        <v>1</v>
      </c>
      <c r="G257" s="516">
        <f>(F257*F221)/E254</f>
        <v>0.08</v>
      </c>
      <c r="H257" s="2"/>
      <c r="I257" s="2"/>
    </row>
    <row r="258" spans="1:12" ht="21.75" customHeight="1" x14ac:dyDescent="0.25">
      <c r="A258" s="2"/>
      <c r="B258" s="2"/>
      <c r="C258" s="510"/>
      <c r="D258" s="511"/>
      <c r="E258" s="513"/>
      <c r="F258" s="515"/>
      <c r="G258" s="517"/>
      <c r="H258" s="2"/>
      <c r="I258" s="2"/>
    </row>
    <row r="259" spans="1:12" x14ac:dyDescent="0.25">
      <c r="A259" s="2"/>
      <c r="B259" s="2"/>
      <c r="C259" s="2"/>
      <c r="D259" s="2"/>
      <c r="E259" s="2"/>
      <c r="F259" s="2"/>
      <c r="G259" s="2"/>
      <c r="H259" s="2"/>
      <c r="I259" s="2"/>
    </row>
    <row r="260" spans="1:12" x14ac:dyDescent="0.25">
      <c r="A260" s="2"/>
      <c r="B260" s="2"/>
      <c r="C260" s="2"/>
      <c r="D260" s="2"/>
      <c r="E260" s="2"/>
      <c r="F260" s="2"/>
      <c r="G260" s="2"/>
      <c r="H260" s="2"/>
      <c r="I260" s="2"/>
    </row>
    <row r="261" spans="1:12" x14ac:dyDescent="0.25">
      <c r="A261" s="2"/>
      <c r="B261" s="2"/>
      <c r="C261" s="2"/>
      <c r="D261" s="2"/>
      <c r="E261" s="2"/>
      <c r="F261" s="2"/>
      <c r="G261" s="2"/>
      <c r="H261" s="2"/>
      <c r="I261" s="2"/>
    </row>
    <row r="262" spans="1:12" ht="15.75" x14ac:dyDescent="0.25">
      <c r="A262" s="762" t="s">
        <v>55</v>
      </c>
      <c r="B262" s="762"/>
      <c r="C262" s="762"/>
      <c r="D262" s="762"/>
      <c r="E262" s="2"/>
      <c r="F262" s="2"/>
      <c r="G262" s="2"/>
      <c r="H262" s="2"/>
      <c r="I262" s="2"/>
    </row>
    <row r="263" spans="1:12" x14ac:dyDescent="0.25">
      <c r="A263" s="2"/>
      <c r="B263" s="2"/>
      <c r="C263" s="2"/>
      <c r="D263" s="2"/>
      <c r="E263" s="2"/>
      <c r="F263" s="2"/>
      <c r="G263" s="2"/>
      <c r="H263" s="2"/>
      <c r="I263" s="2"/>
    </row>
    <row r="264" spans="1:12" ht="15.75" x14ac:dyDescent="0.25">
      <c r="A264" s="153"/>
      <c r="B264" s="153"/>
      <c r="C264" s="153"/>
      <c r="D264" s="153"/>
      <c r="E264" s="2"/>
      <c r="F264" s="2"/>
      <c r="G264" s="2"/>
      <c r="H264" s="2"/>
      <c r="I264" s="2"/>
    </row>
    <row r="265" spans="1:12" ht="15.75" customHeight="1" x14ac:dyDescent="0.25">
      <c r="A265" s="2"/>
      <c r="B265" s="2"/>
      <c r="C265" s="455" t="s">
        <v>171</v>
      </c>
      <c r="D265" s="455"/>
      <c r="E265" s="456" t="str">
        <f>IF(D111="SI","MAYOR A 50 UIT",IF(AND(D111="NO"),"MENOR A 50 UIT"))</f>
        <v>MAYOR A 50 UIT</v>
      </c>
      <c r="F265" s="456"/>
      <c r="G265" s="31"/>
      <c r="H265" s="31"/>
      <c r="I265" s="31"/>
      <c r="J265" s="154"/>
    </row>
    <row r="266" spans="1:12" ht="15.75" customHeight="1" x14ac:dyDescent="0.25">
      <c r="A266" s="2"/>
      <c r="B266" s="2"/>
      <c r="C266" s="455" t="s">
        <v>172</v>
      </c>
      <c r="D266" s="455"/>
      <c r="E266" s="6" t="str">
        <f>IF(E77="Incluido IGV","INCLUIDO IGV",IF(AND(E77="Sin IGV"),"SIN IGV"))</f>
        <v>SIN IGV</v>
      </c>
      <c r="F266" s="25"/>
      <c r="G266" s="2"/>
      <c r="H266" s="2"/>
      <c r="I266" s="2"/>
      <c r="K266" s="154"/>
      <c r="L266" s="154"/>
    </row>
    <row r="267" spans="1:12" ht="15.75" customHeight="1" x14ac:dyDescent="0.25">
      <c r="A267" s="2"/>
      <c r="B267" s="2"/>
      <c r="C267" s="77"/>
      <c r="D267" s="77"/>
      <c r="E267" s="4"/>
      <c r="F267" s="2"/>
      <c r="G267" s="2"/>
      <c r="H267" s="2"/>
      <c r="I267" s="2"/>
    </row>
    <row r="268" spans="1:12" x14ac:dyDescent="0.25">
      <c r="A268" s="2"/>
      <c r="B268" s="2"/>
      <c r="C268" s="2"/>
      <c r="D268" s="2"/>
      <c r="E268" s="2"/>
      <c r="F268" s="2"/>
      <c r="G268" s="2"/>
      <c r="H268" s="2"/>
      <c r="I268" s="2"/>
    </row>
    <row r="269" spans="1:12" x14ac:dyDescent="0.25">
      <c r="A269" s="495" t="s">
        <v>56</v>
      </c>
      <c r="B269" s="495"/>
      <c r="C269" s="763" t="s">
        <v>659</v>
      </c>
      <c r="D269" s="763"/>
      <c r="E269" s="763"/>
      <c r="F269" s="75">
        <f>F25</f>
        <v>10</v>
      </c>
      <c r="G269" s="277" t="s">
        <v>392</v>
      </c>
      <c r="H269" s="278" t="str">
        <f>F24</f>
        <v>1:8</v>
      </c>
      <c r="I269" s="2"/>
    </row>
    <row r="270" spans="1:12" ht="15.75" x14ac:dyDescent="0.25">
      <c r="A270" s="2"/>
      <c r="B270" s="2"/>
      <c r="C270" s="32" t="s">
        <v>57</v>
      </c>
      <c r="D270" s="68">
        <f>C49</f>
        <v>110</v>
      </c>
      <c r="E270" s="2" t="s">
        <v>393</v>
      </c>
      <c r="F270" s="2"/>
      <c r="G270" s="2"/>
      <c r="H270" s="2"/>
      <c r="I270" s="2"/>
    </row>
    <row r="271" spans="1:12" ht="15.75" x14ac:dyDescent="0.25">
      <c r="A271" s="2"/>
      <c r="B271" s="2"/>
      <c r="C271" s="32" t="s">
        <v>58</v>
      </c>
      <c r="D271" s="76" t="s">
        <v>314</v>
      </c>
      <c r="E271" s="2"/>
      <c r="F271" s="77"/>
      <c r="G271" s="77" t="s">
        <v>59</v>
      </c>
      <c r="H271" s="78">
        <f>H274+H280+H284</f>
        <v>30.317038499155622</v>
      </c>
      <c r="I271" s="2"/>
      <c r="J271" s="79"/>
    </row>
    <row r="272" spans="1:12" x14ac:dyDescent="0.25">
      <c r="A272" s="497"/>
      <c r="B272" s="497"/>
      <c r="C272" s="26" t="s">
        <v>60</v>
      </c>
      <c r="D272" s="26" t="s">
        <v>61</v>
      </c>
      <c r="E272" s="26" t="s">
        <v>62</v>
      </c>
      <c r="F272" s="26" t="s">
        <v>63</v>
      </c>
      <c r="G272" s="497" t="s">
        <v>64</v>
      </c>
      <c r="H272" s="497"/>
      <c r="I272" s="2"/>
      <c r="K272" s="80"/>
    </row>
    <row r="273" spans="1:11" x14ac:dyDescent="0.25">
      <c r="A273" s="470" t="s">
        <v>65</v>
      </c>
      <c r="B273" s="470"/>
      <c r="C273" s="470"/>
      <c r="D273" s="470"/>
      <c r="E273" s="470"/>
      <c r="F273" s="470"/>
      <c r="G273" s="498"/>
      <c r="H273" s="498"/>
      <c r="I273" s="2"/>
    </row>
    <row r="274" spans="1:11" x14ac:dyDescent="0.25">
      <c r="A274" s="469" t="s">
        <v>66</v>
      </c>
      <c r="B274" s="469"/>
      <c r="C274" s="11" t="s">
        <v>67</v>
      </c>
      <c r="D274" s="81">
        <f>G227</f>
        <v>1.4545454545454545E-2</v>
      </c>
      <c r="E274" s="12">
        <f>IF(D111="SI",G100,IF(AND(D111="NO"),((E86*1.1)/8)))</f>
        <v>26.646464625</v>
      </c>
      <c r="F274" s="82">
        <f>D274*E274</f>
        <v>0.38758493999999999</v>
      </c>
      <c r="G274" s="473" t="s">
        <v>24</v>
      </c>
      <c r="H274" s="475">
        <f>F274+F275+F276+F277+F278</f>
        <v>14.746485236363634</v>
      </c>
      <c r="I274" s="2"/>
    </row>
    <row r="275" spans="1:11" x14ac:dyDescent="0.25">
      <c r="A275" s="469" t="s">
        <v>68</v>
      </c>
      <c r="B275" s="469"/>
      <c r="C275" s="11" t="s">
        <v>67</v>
      </c>
      <c r="D275" s="81">
        <f>G228</f>
        <v>0.14545454545454545</v>
      </c>
      <c r="E275" s="12">
        <f>IF(D111="SI",G101,IF(AND(D111="NO"),(E86/8)))</f>
        <v>24.224058749999998</v>
      </c>
      <c r="F275" s="82">
        <f t="shared" ref="F275:F278" si="4">D275*E275</f>
        <v>3.5234994545454539</v>
      </c>
      <c r="G275" s="519"/>
      <c r="H275" s="520"/>
      <c r="I275" s="2"/>
    </row>
    <row r="276" spans="1:11" x14ac:dyDescent="0.25">
      <c r="A276" s="469" t="s">
        <v>69</v>
      </c>
      <c r="B276" s="469"/>
      <c r="C276" s="11" t="s">
        <v>67</v>
      </c>
      <c r="D276" s="81">
        <f>G229</f>
        <v>7.2727272727272724E-2</v>
      </c>
      <c r="E276" s="12">
        <f>IF(D111="SI",G102,IF(AND(D111="NO"),(F86/8)))</f>
        <v>19.121340624999998</v>
      </c>
      <c r="F276" s="82">
        <f t="shared" si="4"/>
        <v>1.3906429545454544</v>
      </c>
      <c r="G276" s="519"/>
      <c r="H276" s="520"/>
      <c r="I276" s="2"/>
    </row>
    <row r="277" spans="1:11" x14ac:dyDescent="0.25">
      <c r="A277" s="469" t="s">
        <v>70</v>
      </c>
      <c r="B277" s="469"/>
      <c r="C277" s="11" t="s">
        <v>67</v>
      </c>
      <c r="D277" s="81">
        <f>G230</f>
        <v>0.43636363636363634</v>
      </c>
      <c r="E277" s="12">
        <f>IF(D111="SI",G103,IF(AND(D111="NO"),(G86/8)))</f>
        <v>17.283906249999998</v>
      </c>
      <c r="F277" s="82">
        <f t="shared" si="4"/>
        <v>7.5420681818181805</v>
      </c>
      <c r="G277" s="519"/>
      <c r="H277" s="520"/>
      <c r="I277" s="2"/>
    </row>
    <row r="278" spans="1:11" x14ac:dyDescent="0.25">
      <c r="A278" s="477" t="s">
        <v>71</v>
      </c>
      <c r="B278" s="478"/>
      <c r="C278" s="11" t="s">
        <v>67</v>
      </c>
      <c r="D278" s="81">
        <f>G231</f>
        <v>7.2727272727272724E-2</v>
      </c>
      <c r="E278" s="12">
        <f>IF(D111="SI",G105,IF(AND(D111="NO"),((E86*1.08)/8)))</f>
        <v>26.161983449999997</v>
      </c>
      <c r="F278" s="82">
        <f t="shared" si="4"/>
        <v>1.9026897054545451</v>
      </c>
      <c r="G278" s="474"/>
      <c r="H278" s="476"/>
      <c r="I278" s="2"/>
    </row>
    <row r="279" spans="1:11" x14ac:dyDescent="0.25">
      <c r="A279" s="470" t="s">
        <v>72</v>
      </c>
      <c r="B279" s="470"/>
      <c r="C279" s="470"/>
      <c r="D279" s="470"/>
      <c r="E279" s="470"/>
      <c r="F279" s="470"/>
      <c r="G279" s="471"/>
      <c r="H279" s="471"/>
      <c r="I279" s="2"/>
    </row>
    <row r="280" spans="1:11" x14ac:dyDescent="0.25">
      <c r="A280" s="469" t="s">
        <v>73</v>
      </c>
      <c r="B280" s="469"/>
      <c r="C280" s="11" t="s">
        <v>74</v>
      </c>
      <c r="D280" s="81">
        <f>E171</f>
        <v>0.52500000000000002</v>
      </c>
      <c r="E280" s="12">
        <f>IF(E77="Incluido IGV",F66,IF(AND(E77="Sin IGV"),H66))</f>
        <v>18.64406779661017</v>
      </c>
      <c r="F280" s="82">
        <f>D280*E280</f>
        <v>9.7881355932203391</v>
      </c>
      <c r="G280" s="473" t="s">
        <v>24</v>
      </c>
      <c r="H280" s="475">
        <f>F280+F281+F282</f>
        <v>14.388559322033897</v>
      </c>
      <c r="I280" s="2"/>
    </row>
    <row r="281" spans="1:11" ht="15.75" x14ac:dyDescent="0.25">
      <c r="A281" s="469" t="s">
        <v>75</v>
      </c>
      <c r="B281" s="469"/>
      <c r="C281" s="11" t="s">
        <v>76</v>
      </c>
      <c r="D281" s="81">
        <f>E172</f>
        <v>0.11864999999999999</v>
      </c>
      <c r="E281" s="12">
        <f>IF(E77="Incluido IGV",F67,IF(AND(E77="Sin IGV"),H67))</f>
        <v>38.135593220338983</v>
      </c>
      <c r="F281" s="82">
        <f t="shared" ref="F281:F282" si="5">D281*E281</f>
        <v>4.5247881355932202</v>
      </c>
      <c r="G281" s="519"/>
      <c r="H281" s="520"/>
      <c r="I281" s="2"/>
      <c r="K281" s="83"/>
    </row>
    <row r="282" spans="1:11" ht="15.75" x14ac:dyDescent="0.25">
      <c r="A282" s="469" t="s">
        <v>77</v>
      </c>
      <c r="B282" s="469"/>
      <c r="C282" s="11" t="s">
        <v>76</v>
      </c>
      <c r="D282" s="81">
        <f>E173</f>
        <v>1.7850000000000001E-2</v>
      </c>
      <c r="E282" s="12">
        <f>IF(E77="Incluido IGV",F69,IF(AND(E77="Sin IGV"),H69))</f>
        <v>4.2372881355932206</v>
      </c>
      <c r="F282" s="82">
        <f t="shared" si="5"/>
        <v>7.5635593220338998E-2</v>
      </c>
      <c r="G282" s="474"/>
      <c r="H282" s="476"/>
      <c r="I282" s="2"/>
      <c r="K282" s="83"/>
    </row>
    <row r="283" spans="1:11" x14ac:dyDescent="0.25">
      <c r="A283" s="470" t="s">
        <v>78</v>
      </c>
      <c r="B283" s="470"/>
      <c r="C283" s="470"/>
      <c r="D283" s="470"/>
      <c r="E283" s="470"/>
      <c r="F283" s="470"/>
      <c r="G283" s="471"/>
      <c r="H283" s="471"/>
      <c r="I283" s="2"/>
      <c r="K283" s="83"/>
    </row>
    <row r="284" spans="1:11" x14ac:dyDescent="0.25">
      <c r="A284" s="472" t="s">
        <v>79</v>
      </c>
      <c r="B284" s="472"/>
      <c r="C284" s="11" t="s">
        <v>80</v>
      </c>
      <c r="D284" s="71">
        <f>G250</f>
        <v>7.2727272727272724E-2</v>
      </c>
      <c r="E284" s="84">
        <f>IF(E77="Incluido IGV",F74,IF(AND(E77="Sin IGV"),H74))</f>
        <v>10.16949152542373</v>
      </c>
      <c r="F284" s="85">
        <f>D284*E284</f>
        <v>0.73959938366718037</v>
      </c>
      <c r="G284" s="473" t="s">
        <v>24</v>
      </c>
      <c r="H284" s="475">
        <f>F284+F285</f>
        <v>1.1819939407580895</v>
      </c>
      <c r="I284" s="2"/>
      <c r="K284" s="83"/>
    </row>
    <row r="285" spans="1:11" x14ac:dyDescent="0.25">
      <c r="A285" s="477" t="s">
        <v>81</v>
      </c>
      <c r="B285" s="478"/>
      <c r="C285" s="11" t="s">
        <v>82</v>
      </c>
      <c r="D285" s="86">
        <f>E58</f>
        <v>0.03</v>
      </c>
      <c r="E285" s="12">
        <f>H274</f>
        <v>14.746485236363634</v>
      </c>
      <c r="F285" s="82">
        <f>D285*E285</f>
        <v>0.44239455709090902</v>
      </c>
      <c r="G285" s="474"/>
      <c r="H285" s="476"/>
      <c r="I285" s="2"/>
      <c r="K285" s="83"/>
    </row>
    <row r="286" spans="1:11" x14ac:dyDescent="0.25">
      <c r="A286" s="2"/>
      <c r="B286" s="2"/>
      <c r="C286" s="2"/>
      <c r="D286" s="2"/>
      <c r="E286" s="2"/>
      <c r="F286" s="2"/>
      <c r="G286" s="2"/>
      <c r="H286" s="2"/>
      <c r="I286" s="2"/>
    </row>
    <row r="287" spans="1:11" x14ac:dyDescent="0.25">
      <c r="A287" s="2"/>
      <c r="B287" s="2"/>
      <c r="C287" s="2"/>
      <c r="D287" s="2"/>
      <c r="E287" s="2"/>
      <c r="F287" s="2"/>
      <c r="G287" s="2"/>
      <c r="H287" s="2"/>
      <c r="I287" s="2"/>
    </row>
    <row r="288" spans="1:11" x14ac:dyDescent="0.25">
      <c r="A288" s="495" t="s">
        <v>56</v>
      </c>
      <c r="B288" s="495"/>
      <c r="C288" s="696" t="s">
        <v>660</v>
      </c>
      <c r="D288" s="696"/>
      <c r="E288" s="75">
        <f>F37</f>
        <v>3</v>
      </c>
      <c r="F288" s="277" t="s">
        <v>661</v>
      </c>
      <c r="G288" s="278" t="str">
        <f>F36</f>
        <v>1:5</v>
      </c>
      <c r="I288" s="2"/>
    </row>
    <row r="289" spans="1:11" ht="15.75" x14ac:dyDescent="0.25">
      <c r="A289" s="2"/>
      <c r="B289" s="2"/>
      <c r="C289" s="32" t="s">
        <v>57</v>
      </c>
      <c r="D289" s="68">
        <f>C51</f>
        <v>100</v>
      </c>
      <c r="E289" s="2" t="s">
        <v>393</v>
      </c>
      <c r="F289" s="2"/>
      <c r="G289" s="2"/>
      <c r="H289" s="2"/>
      <c r="I289" s="2"/>
    </row>
    <row r="290" spans="1:11" ht="15.75" x14ac:dyDescent="0.25">
      <c r="A290" s="2"/>
      <c r="B290" s="2"/>
      <c r="C290" s="32" t="s">
        <v>58</v>
      </c>
      <c r="D290" s="76" t="s">
        <v>314</v>
      </c>
      <c r="E290" s="2"/>
      <c r="F290" s="77"/>
      <c r="G290" s="77" t="s">
        <v>59</v>
      </c>
      <c r="H290" s="78">
        <f>H293+H299+H303</f>
        <v>25.940587760276095</v>
      </c>
      <c r="I290" s="2"/>
      <c r="J290" s="79"/>
    </row>
    <row r="291" spans="1:11" x14ac:dyDescent="0.25">
      <c r="A291" s="497"/>
      <c r="B291" s="497"/>
      <c r="C291" s="26" t="s">
        <v>60</v>
      </c>
      <c r="D291" s="26" t="s">
        <v>61</v>
      </c>
      <c r="E291" s="26" t="s">
        <v>62</v>
      </c>
      <c r="F291" s="26" t="s">
        <v>63</v>
      </c>
      <c r="G291" s="497" t="s">
        <v>64</v>
      </c>
      <c r="H291" s="497"/>
      <c r="I291" s="2"/>
      <c r="K291" s="80"/>
    </row>
    <row r="292" spans="1:11" x14ac:dyDescent="0.25">
      <c r="A292" s="470" t="s">
        <v>65</v>
      </c>
      <c r="B292" s="470"/>
      <c r="C292" s="470"/>
      <c r="D292" s="470"/>
      <c r="E292" s="470"/>
      <c r="F292" s="470"/>
      <c r="G292" s="498"/>
      <c r="H292" s="498"/>
      <c r="I292" s="2"/>
    </row>
    <row r="293" spans="1:11" x14ac:dyDescent="0.25">
      <c r="A293" s="469" t="s">
        <v>66</v>
      </c>
      <c r="B293" s="469"/>
      <c r="C293" s="11" t="s">
        <v>67</v>
      </c>
      <c r="D293" s="81">
        <f>G237</f>
        <v>2.4E-2</v>
      </c>
      <c r="E293" s="12">
        <f>E274</f>
        <v>26.646464625</v>
      </c>
      <c r="F293" s="82">
        <f>D293*E293</f>
        <v>0.639515151</v>
      </c>
      <c r="G293" s="473" t="s">
        <v>24</v>
      </c>
      <c r="H293" s="475">
        <f>F293+F294+F295+F296+F297</f>
        <v>18.372230176999995</v>
      </c>
      <c r="I293" s="2"/>
    </row>
    <row r="294" spans="1:11" x14ac:dyDescent="0.25">
      <c r="A294" s="469" t="s">
        <v>68</v>
      </c>
      <c r="B294" s="469"/>
      <c r="C294" s="11" t="s">
        <v>67</v>
      </c>
      <c r="D294" s="81">
        <f>G238</f>
        <v>0.24</v>
      </c>
      <c r="E294" s="12">
        <f t="shared" ref="E294:E297" si="6">E275</f>
        <v>24.224058749999998</v>
      </c>
      <c r="F294" s="82">
        <f t="shared" ref="F294:F297" si="7">D294*E294</f>
        <v>5.8137740999999989</v>
      </c>
      <c r="G294" s="519"/>
      <c r="H294" s="520"/>
      <c r="I294" s="2"/>
    </row>
    <row r="295" spans="1:11" x14ac:dyDescent="0.25">
      <c r="A295" s="469" t="s">
        <v>69</v>
      </c>
      <c r="B295" s="469"/>
      <c r="C295" s="11" t="s">
        <v>67</v>
      </c>
      <c r="D295" s="81">
        <f>G239</f>
        <v>0.08</v>
      </c>
      <c r="E295" s="12">
        <f t="shared" si="6"/>
        <v>19.121340624999998</v>
      </c>
      <c r="F295" s="82">
        <f t="shared" si="7"/>
        <v>1.52970725</v>
      </c>
      <c r="G295" s="519"/>
      <c r="H295" s="520"/>
      <c r="I295" s="2"/>
    </row>
    <row r="296" spans="1:11" x14ac:dyDescent="0.25">
      <c r="A296" s="469" t="s">
        <v>70</v>
      </c>
      <c r="B296" s="469"/>
      <c r="C296" s="11" t="s">
        <v>67</v>
      </c>
      <c r="D296" s="81">
        <f>G240</f>
        <v>0.48</v>
      </c>
      <c r="E296" s="12">
        <f t="shared" si="6"/>
        <v>17.283906249999998</v>
      </c>
      <c r="F296" s="82">
        <f t="shared" si="7"/>
        <v>8.2962749999999978</v>
      </c>
      <c r="G296" s="519"/>
      <c r="H296" s="520"/>
      <c r="I296" s="2"/>
    </row>
    <row r="297" spans="1:11" x14ac:dyDescent="0.25">
      <c r="A297" s="477" t="s">
        <v>71</v>
      </c>
      <c r="B297" s="478"/>
      <c r="C297" s="11" t="s">
        <v>67</v>
      </c>
      <c r="D297" s="81">
        <f>G241</f>
        <v>0.08</v>
      </c>
      <c r="E297" s="12">
        <f t="shared" si="6"/>
        <v>26.161983449999997</v>
      </c>
      <c r="F297" s="82">
        <f t="shared" si="7"/>
        <v>2.0929586759999999</v>
      </c>
      <c r="G297" s="474"/>
      <c r="H297" s="476"/>
      <c r="I297" s="2"/>
    </row>
    <row r="298" spans="1:11" x14ac:dyDescent="0.25">
      <c r="A298" s="470" t="s">
        <v>72</v>
      </c>
      <c r="B298" s="470"/>
      <c r="C298" s="470"/>
      <c r="D298" s="470"/>
      <c r="E298" s="470"/>
      <c r="F298" s="470"/>
      <c r="G298" s="471"/>
      <c r="H298" s="471"/>
      <c r="I298" s="2"/>
    </row>
    <row r="299" spans="1:11" x14ac:dyDescent="0.25">
      <c r="A299" s="469" t="s">
        <v>73</v>
      </c>
      <c r="B299" s="469"/>
      <c r="C299" s="11" t="s">
        <v>74</v>
      </c>
      <c r="D299" s="81">
        <f>E203</f>
        <v>0.2331</v>
      </c>
      <c r="E299" s="12">
        <f>IF(E77="Incluido IGV",F66,IF(AND(E77="Sin IGV"),H66))</f>
        <v>18.64406779661017</v>
      </c>
      <c r="F299" s="82">
        <f>D299*E299</f>
        <v>4.3459322033898307</v>
      </c>
      <c r="G299" s="473" t="s">
        <v>24</v>
      </c>
      <c r="H299" s="475">
        <f>F299+F300+F301</f>
        <v>6.2036313559322034</v>
      </c>
      <c r="I299" s="2"/>
    </row>
    <row r="300" spans="1:11" ht="15.75" x14ac:dyDescent="0.25">
      <c r="A300" s="469" t="s">
        <v>662</v>
      </c>
      <c r="B300" s="469"/>
      <c r="C300" s="11" t="s">
        <v>76</v>
      </c>
      <c r="D300" s="81">
        <f>E204</f>
        <v>3.3075E-2</v>
      </c>
      <c r="E300" s="12">
        <f>IF(E77="Incluido IGV",F68,IF(AND(E77="Sin IGV"),H68))</f>
        <v>55.084745762711869</v>
      </c>
      <c r="F300" s="82">
        <f t="shared" ref="F300:F301" si="8">D300*E300</f>
        <v>1.8219279661016952</v>
      </c>
      <c r="G300" s="519"/>
      <c r="H300" s="520"/>
      <c r="I300" s="2"/>
      <c r="K300" s="83"/>
    </row>
    <row r="301" spans="1:11" ht="15.75" x14ac:dyDescent="0.25">
      <c r="A301" s="469" t="s">
        <v>77</v>
      </c>
      <c r="B301" s="469"/>
      <c r="C301" s="11" t="s">
        <v>76</v>
      </c>
      <c r="D301" s="81">
        <f>E205</f>
        <v>8.4419999999999981E-3</v>
      </c>
      <c r="E301" s="12">
        <f>IF(E77="Incluido IGV",F69,IF(AND(E77="Sin IGV"),H69))</f>
        <v>4.2372881355932206</v>
      </c>
      <c r="F301" s="82">
        <f t="shared" si="8"/>
        <v>3.5771186440677963E-2</v>
      </c>
      <c r="G301" s="474"/>
      <c r="H301" s="476"/>
      <c r="I301" s="2"/>
      <c r="K301" s="83"/>
    </row>
    <row r="302" spans="1:11" x14ac:dyDescent="0.25">
      <c r="A302" s="470" t="s">
        <v>78</v>
      </c>
      <c r="B302" s="470"/>
      <c r="C302" s="470"/>
      <c r="D302" s="470"/>
      <c r="E302" s="470"/>
      <c r="F302" s="470"/>
      <c r="G302" s="471"/>
      <c r="H302" s="471"/>
      <c r="I302" s="2"/>
      <c r="K302" s="83"/>
    </row>
    <row r="303" spans="1:11" x14ac:dyDescent="0.25">
      <c r="A303" s="472" t="s">
        <v>79</v>
      </c>
      <c r="B303" s="472"/>
      <c r="C303" s="11" t="s">
        <v>80</v>
      </c>
      <c r="D303" s="71">
        <f>G257</f>
        <v>0.08</v>
      </c>
      <c r="E303" s="84">
        <f>IF(E77="Incluido IGV",F74,IF(AND(E77="Sin IGV"),H74))</f>
        <v>10.16949152542373</v>
      </c>
      <c r="F303" s="85">
        <f>D303*E303</f>
        <v>0.81355932203389847</v>
      </c>
      <c r="G303" s="473" t="s">
        <v>24</v>
      </c>
      <c r="H303" s="475">
        <f>F303+F304</f>
        <v>1.3647262273438983</v>
      </c>
      <c r="I303" s="2"/>
      <c r="K303" s="83"/>
    </row>
    <row r="304" spans="1:11" x14ac:dyDescent="0.25">
      <c r="A304" s="477" t="s">
        <v>81</v>
      </c>
      <c r="B304" s="478"/>
      <c r="C304" s="11" t="s">
        <v>82</v>
      </c>
      <c r="D304" s="86">
        <f>E58</f>
        <v>0.03</v>
      </c>
      <c r="E304" s="12">
        <f>H293</f>
        <v>18.372230176999995</v>
      </c>
      <c r="F304" s="82">
        <f>D304*E304</f>
        <v>0.55116690530999979</v>
      </c>
      <c r="G304" s="474"/>
      <c r="H304" s="476"/>
      <c r="I304" s="2"/>
      <c r="K304" s="83"/>
    </row>
    <row r="305" spans="1:12" x14ac:dyDescent="0.25">
      <c r="A305" s="2"/>
      <c r="B305" s="2"/>
      <c r="C305" s="2"/>
      <c r="D305" s="2"/>
      <c r="E305" s="2"/>
      <c r="F305" s="2"/>
      <c r="G305" s="2"/>
      <c r="H305" s="2"/>
      <c r="I305" s="2"/>
    </row>
    <row r="306" spans="1:12" x14ac:dyDescent="0.25">
      <c r="A306" s="2"/>
      <c r="B306" s="2"/>
      <c r="C306" s="2"/>
      <c r="D306" s="2"/>
      <c r="E306" s="2"/>
      <c r="F306" s="2"/>
      <c r="G306" s="2"/>
      <c r="H306" s="2"/>
      <c r="I306" s="2"/>
    </row>
    <row r="307" spans="1:12" x14ac:dyDescent="0.25">
      <c r="A307" s="2"/>
      <c r="B307" s="2"/>
      <c r="C307" s="2"/>
      <c r="D307" s="2"/>
      <c r="E307" s="2"/>
      <c r="F307" s="2"/>
      <c r="G307" s="2"/>
      <c r="H307" s="2"/>
      <c r="I307" s="2"/>
    </row>
    <row r="308" spans="1:12" ht="15.75" x14ac:dyDescent="0.25">
      <c r="A308" s="761" t="s">
        <v>663</v>
      </c>
      <c r="B308" s="761"/>
      <c r="C308" s="761"/>
      <c r="D308" s="761"/>
      <c r="E308" s="761"/>
      <c r="F308" s="2"/>
      <c r="G308" s="2"/>
      <c r="H308" s="2"/>
      <c r="I308" s="2"/>
    </row>
    <row r="309" spans="1:12" x14ac:dyDescent="0.25">
      <c r="A309" s="2"/>
      <c r="B309" s="2"/>
      <c r="C309" s="2"/>
      <c r="D309" s="2"/>
      <c r="E309" s="2"/>
      <c r="F309" s="2"/>
      <c r="G309" s="2"/>
      <c r="H309" s="2"/>
      <c r="I309" s="2"/>
    </row>
    <row r="310" spans="1:12" ht="15.75" customHeight="1" x14ac:dyDescent="0.25">
      <c r="A310" s="2"/>
      <c r="B310" s="2"/>
      <c r="C310" s="455" t="s">
        <v>171</v>
      </c>
      <c r="D310" s="455"/>
      <c r="E310" s="456" t="str">
        <f>E265</f>
        <v>MAYOR A 50 UIT</v>
      </c>
      <c r="F310" s="456"/>
      <c r="G310" s="31"/>
      <c r="H310" s="31"/>
      <c r="I310" s="31"/>
      <c r="J310" s="154"/>
    </row>
    <row r="311" spans="1:12" ht="15.75" customHeight="1" x14ac:dyDescent="0.25">
      <c r="A311" s="2"/>
      <c r="B311" s="2"/>
      <c r="C311" s="455" t="s">
        <v>172</v>
      </c>
      <c r="D311" s="455"/>
      <c r="E311" s="6" t="str">
        <f>E266</f>
        <v>SIN IGV</v>
      </c>
      <c r="F311" s="25"/>
      <c r="G311" s="2"/>
      <c r="H311" s="2"/>
      <c r="I311" s="2"/>
      <c r="K311" s="154"/>
      <c r="L311" s="154"/>
    </row>
    <row r="312" spans="1:12" x14ac:dyDescent="0.25">
      <c r="A312" s="2"/>
      <c r="B312" s="2"/>
      <c r="C312" s="2"/>
      <c r="D312" s="2"/>
      <c r="E312" s="2"/>
      <c r="F312" s="2"/>
      <c r="G312" s="2"/>
      <c r="H312" s="2"/>
      <c r="I312" s="2"/>
    </row>
    <row r="313" spans="1:12" x14ac:dyDescent="0.25">
      <c r="A313" s="2"/>
      <c r="B313" s="500" t="s">
        <v>46</v>
      </c>
      <c r="C313" s="501"/>
      <c r="D313" s="505" t="s">
        <v>60</v>
      </c>
      <c r="E313" s="504" t="s">
        <v>83</v>
      </c>
      <c r="F313" s="504" t="s">
        <v>84</v>
      </c>
      <c r="G313" s="458" t="s">
        <v>85</v>
      </c>
      <c r="H313" s="459"/>
      <c r="I313" s="2"/>
    </row>
    <row r="314" spans="1:12" x14ac:dyDescent="0.25">
      <c r="A314" s="2"/>
      <c r="B314" s="502"/>
      <c r="C314" s="503"/>
      <c r="D314" s="506"/>
      <c r="E314" s="504"/>
      <c r="F314" s="504"/>
      <c r="G314" s="616"/>
      <c r="H314" s="617"/>
      <c r="I314" s="2"/>
    </row>
    <row r="315" spans="1:12" x14ac:dyDescent="0.25">
      <c r="A315" s="2"/>
      <c r="B315" s="759" t="s">
        <v>664</v>
      </c>
      <c r="C315" s="760"/>
      <c r="D315" s="460" t="s">
        <v>314</v>
      </c>
      <c r="E315" s="463">
        <f>G123</f>
        <v>90</v>
      </c>
      <c r="F315" s="466">
        <f>H271</f>
        <v>30.317038499155622</v>
      </c>
      <c r="G315" s="485" t="s">
        <v>24</v>
      </c>
      <c r="H315" s="488">
        <f>E315*F315</f>
        <v>2728.5334649240058</v>
      </c>
      <c r="I315" s="2"/>
    </row>
    <row r="316" spans="1:12" x14ac:dyDescent="0.25">
      <c r="A316" s="2"/>
      <c r="B316" s="387" t="s">
        <v>381</v>
      </c>
      <c r="C316" s="388">
        <f>F25</f>
        <v>10</v>
      </c>
      <c r="D316" s="461"/>
      <c r="E316" s="464"/>
      <c r="F316" s="467"/>
      <c r="G316" s="486"/>
      <c r="H316" s="489"/>
      <c r="I316" s="2"/>
    </row>
    <row r="317" spans="1:12" x14ac:dyDescent="0.25">
      <c r="A317" s="2"/>
      <c r="B317" s="389" t="s">
        <v>665</v>
      </c>
      <c r="C317" s="390" t="str">
        <f>F24</f>
        <v>1:8</v>
      </c>
      <c r="D317" s="462"/>
      <c r="E317" s="465"/>
      <c r="F317" s="468"/>
      <c r="G317" s="487"/>
      <c r="H317" s="490"/>
      <c r="I317" s="2"/>
    </row>
    <row r="318" spans="1:12" ht="15" customHeight="1" x14ac:dyDescent="0.25">
      <c r="A318" s="2"/>
      <c r="B318" s="759" t="s">
        <v>666</v>
      </c>
      <c r="C318" s="760"/>
      <c r="D318" s="460" t="s">
        <v>314</v>
      </c>
      <c r="E318" s="463">
        <f>G124</f>
        <v>90</v>
      </c>
      <c r="F318" s="466">
        <f>H290</f>
        <v>25.940587760276095</v>
      </c>
      <c r="G318" s="485" t="s">
        <v>24</v>
      </c>
      <c r="H318" s="488">
        <f>E318*F318</f>
        <v>2334.6528984248484</v>
      </c>
      <c r="I318" s="2"/>
    </row>
    <row r="319" spans="1:12" x14ac:dyDescent="0.25">
      <c r="A319" s="2"/>
      <c r="B319" s="387" t="s">
        <v>381</v>
      </c>
      <c r="C319" s="391">
        <f>F37</f>
        <v>3</v>
      </c>
      <c r="D319" s="461"/>
      <c r="E319" s="464"/>
      <c r="F319" s="467"/>
      <c r="G319" s="486"/>
      <c r="H319" s="489"/>
      <c r="I319" s="2"/>
    </row>
    <row r="320" spans="1:12" x14ac:dyDescent="0.25">
      <c r="A320" s="2"/>
      <c r="B320" s="389" t="s">
        <v>667</v>
      </c>
      <c r="C320" s="391" t="str">
        <f>F36</f>
        <v>1:5</v>
      </c>
      <c r="D320" s="462"/>
      <c r="E320" s="465"/>
      <c r="F320" s="468"/>
      <c r="G320" s="487"/>
      <c r="H320" s="490"/>
      <c r="I320" s="2"/>
    </row>
    <row r="321" spans="1:12" x14ac:dyDescent="0.25">
      <c r="A321" s="2"/>
      <c r="B321" s="642" t="s">
        <v>668</v>
      </c>
      <c r="C321" s="643"/>
      <c r="D321" s="643"/>
      <c r="E321" s="643"/>
      <c r="F321" s="644"/>
      <c r="G321" s="645" t="s">
        <v>24</v>
      </c>
      <c r="H321" s="620">
        <f>H315+H318</f>
        <v>5063.1863633488538</v>
      </c>
      <c r="I321" s="2"/>
    </row>
    <row r="322" spans="1:12" x14ac:dyDescent="0.25">
      <c r="A322" s="2"/>
      <c r="B322" s="87"/>
      <c r="C322" s="720" t="s">
        <v>400</v>
      </c>
      <c r="D322" s="720"/>
      <c r="E322" s="90" t="str">
        <f>E77</f>
        <v>Sin IGV</v>
      </c>
      <c r="F322" s="91"/>
      <c r="G322" s="646"/>
      <c r="H322" s="621"/>
      <c r="I322" s="2"/>
    </row>
    <row r="323" spans="1:12" x14ac:dyDescent="0.25">
      <c r="A323" s="2"/>
      <c r="B323" s="2"/>
      <c r="C323" s="2"/>
      <c r="D323" s="2"/>
      <c r="E323" s="2"/>
      <c r="F323" s="2"/>
      <c r="G323" s="2"/>
      <c r="H323" s="2"/>
      <c r="I323" s="2"/>
    </row>
    <row r="324" spans="1:12" x14ac:dyDescent="0.25">
      <c r="A324" s="2"/>
      <c r="B324" s="2"/>
      <c r="C324" s="2"/>
      <c r="D324" s="2"/>
      <c r="E324" s="2"/>
      <c r="F324" s="2"/>
      <c r="G324" s="2"/>
      <c r="H324" s="2"/>
      <c r="I324" s="2"/>
    </row>
    <row r="325" spans="1:12" x14ac:dyDescent="0.25">
      <c r="A325" s="2"/>
      <c r="B325" s="2"/>
      <c r="C325" s="2"/>
      <c r="D325" s="2"/>
      <c r="E325" s="2"/>
      <c r="F325" s="2"/>
      <c r="G325" s="2"/>
      <c r="H325" s="2"/>
      <c r="I325" s="2"/>
    </row>
    <row r="326" spans="1:12" ht="15.75" x14ac:dyDescent="0.25">
      <c r="A326" s="758" t="s">
        <v>669</v>
      </c>
      <c r="B326" s="758"/>
      <c r="C326" s="758"/>
      <c r="D326" s="758"/>
      <c r="E326" s="758"/>
      <c r="F326" s="758"/>
      <c r="G326" s="758"/>
      <c r="H326" s="2"/>
      <c r="I326" s="2"/>
    </row>
    <row r="327" spans="1:12" x14ac:dyDescent="0.25">
      <c r="A327" s="2"/>
      <c r="B327" s="2"/>
      <c r="C327" s="2"/>
      <c r="D327" s="2"/>
      <c r="E327" s="2"/>
      <c r="F327" s="2"/>
      <c r="G327" s="2"/>
      <c r="H327" s="2"/>
      <c r="I327" s="2"/>
    </row>
    <row r="328" spans="1:12" ht="15.75" customHeight="1" x14ac:dyDescent="0.25">
      <c r="A328" s="2"/>
      <c r="B328" s="2"/>
      <c r="C328" s="455" t="s">
        <v>171</v>
      </c>
      <c r="D328" s="455"/>
      <c r="E328" s="456" t="str">
        <f>E310</f>
        <v>MAYOR A 50 UIT</v>
      </c>
      <c r="F328" s="456"/>
      <c r="G328" s="31"/>
      <c r="H328" s="31"/>
      <c r="I328" s="31"/>
      <c r="J328" s="154"/>
    </row>
    <row r="329" spans="1:12" ht="15.75" customHeight="1" x14ac:dyDescent="0.25">
      <c r="A329" s="2"/>
      <c r="B329" s="2"/>
      <c r="C329" s="455" t="s">
        <v>172</v>
      </c>
      <c r="D329" s="455"/>
      <c r="E329" s="6" t="str">
        <f>E311</f>
        <v>SIN IGV</v>
      </c>
      <c r="F329" s="25"/>
      <c r="G329" s="2"/>
      <c r="H329" s="2"/>
      <c r="I329" s="2"/>
      <c r="K329" s="154"/>
      <c r="L329" s="154"/>
    </row>
    <row r="330" spans="1:12" x14ac:dyDescent="0.25">
      <c r="A330" s="2"/>
      <c r="B330" s="2"/>
      <c r="C330" s="2"/>
      <c r="D330" s="2"/>
      <c r="E330" s="2"/>
      <c r="F330" s="2"/>
      <c r="G330" s="2"/>
      <c r="H330" s="2"/>
      <c r="I330" s="2"/>
    </row>
    <row r="331" spans="1:12" x14ac:dyDescent="0.25">
      <c r="A331" s="22" t="s">
        <v>670</v>
      </c>
      <c r="B331" s="2"/>
      <c r="C331" s="2"/>
      <c r="D331" s="2"/>
      <c r="E331" s="2"/>
      <c r="F331" s="2"/>
      <c r="G331" s="2"/>
      <c r="H331" s="2"/>
      <c r="I331" s="2"/>
    </row>
    <row r="332" spans="1:12" x14ac:dyDescent="0.25">
      <c r="A332" s="2"/>
      <c r="B332" s="2"/>
      <c r="C332" s="2"/>
      <c r="D332" s="2"/>
      <c r="E332" s="2"/>
      <c r="F332" s="2"/>
      <c r="G332" s="2"/>
      <c r="H332" s="2"/>
      <c r="I332" s="2"/>
    </row>
    <row r="333" spans="1:12" ht="15" customHeight="1" x14ac:dyDescent="0.25">
      <c r="A333" s="2"/>
      <c r="B333" s="2"/>
      <c r="C333" s="448" t="s">
        <v>72</v>
      </c>
      <c r="D333" s="457"/>
      <c r="E333" s="458" t="s">
        <v>87</v>
      </c>
      <c r="F333" s="459"/>
      <c r="G333" s="2"/>
      <c r="H333" s="2"/>
      <c r="I333" s="2"/>
    </row>
    <row r="334" spans="1:12" x14ac:dyDescent="0.25">
      <c r="A334" s="2"/>
      <c r="B334" s="2"/>
      <c r="C334" s="446" t="s">
        <v>39</v>
      </c>
      <c r="D334" s="447"/>
      <c r="E334" s="92">
        <f>E179</f>
        <v>47.25</v>
      </c>
      <c r="F334" s="93" t="s">
        <v>35</v>
      </c>
      <c r="G334" s="2"/>
      <c r="H334" s="2"/>
      <c r="I334" s="2"/>
    </row>
    <row r="335" spans="1:12" ht="15.75" x14ac:dyDescent="0.25">
      <c r="A335" s="2"/>
      <c r="B335" s="2"/>
      <c r="C335" s="446" t="s">
        <v>40</v>
      </c>
      <c r="D335" s="447"/>
      <c r="E335" s="92">
        <f>E180</f>
        <v>10.6785</v>
      </c>
      <c r="F335" s="93" t="s">
        <v>88</v>
      </c>
      <c r="G335" s="2"/>
      <c r="H335" s="2"/>
      <c r="I335" s="2"/>
    </row>
    <row r="336" spans="1:12" ht="15.75" x14ac:dyDescent="0.25">
      <c r="A336" s="2"/>
      <c r="B336" s="2"/>
      <c r="C336" s="446" t="s">
        <v>89</v>
      </c>
      <c r="D336" s="447"/>
      <c r="E336" s="94">
        <f>E181</f>
        <v>1.6065</v>
      </c>
      <c r="F336" s="95" t="s">
        <v>88</v>
      </c>
      <c r="G336" s="2"/>
      <c r="H336" s="2"/>
      <c r="I336" s="2"/>
    </row>
    <row r="337" spans="1:9" x14ac:dyDescent="0.25">
      <c r="A337" s="2"/>
      <c r="B337" s="2"/>
      <c r="C337" s="448" t="s">
        <v>65</v>
      </c>
      <c r="D337" s="449"/>
      <c r="E337" s="450" t="s">
        <v>87</v>
      </c>
      <c r="F337" s="451"/>
      <c r="G337" s="2"/>
      <c r="H337" s="2"/>
      <c r="I337" s="2"/>
    </row>
    <row r="338" spans="1:9" x14ac:dyDescent="0.25">
      <c r="A338" s="2"/>
      <c r="B338" s="2"/>
      <c r="C338" s="446" t="s">
        <v>11</v>
      </c>
      <c r="D338" s="447"/>
      <c r="E338" s="251">
        <f>G227*G123</f>
        <v>1.3090909090909091</v>
      </c>
      <c r="F338" s="392" t="s">
        <v>67</v>
      </c>
      <c r="G338" s="2"/>
      <c r="H338" s="96"/>
      <c r="I338" s="2"/>
    </row>
    <row r="339" spans="1:9" x14ac:dyDescent="0.25">
      <c r="A339" s="2"/>
      <c r="B339" s="2"/>
      <c r="C339" s="446" t="s">
        <v>12</v>
      </c>
      <c r="D339" s="447"/>
      <c r="E339" s="251">
        <f>G228*G123</f>
        <v>13.09090909090909</v>
      </c>
      <c r="F339" s="392" t="s">
        <v>67</v>
      </c>
      <c r="G339" s="2"/>
      <c r="H339" s="97"/>
      <c r="I339" s="2"/>
    </row>
    <row r="340" spans="1:9" x14ac:dyDescent="0.25">
      <c r="A340" s="2"/>
      <c r="B340" s="2"/>
      <c r="C340" s="446" t="s">
        <v>13</v>
      </c>
      <c r="D340" s="447"/>
      <c r="E340" s="251">
        <f>G229*G123</f>
        <v>6.545454545454545</v>
      </c>
      <c r="F340" s="392" t="s">
        <v>67</v>
      </c>
      <c r="G340" s="2"/>
      <c r="H340" s="97"/>
      <c r="I340" s="2"/>
    </row>
    <row r="341" spans="1:9" x14ac:dyDescent="0.25">
      <c r="A341" s="2"/>
      <c r="B341" s="2"/>
      <c r="C341" s="446" t="s">
        <v>14</v>
      </c>
      <c r="D341" s="447"/>
      <c r="E341" s="251">
        <f>G230*G123</f>
        <v>39.272727272727273</v>
      </c>
      <c r="F341" s="392" t="s">
        <v>67</v>
      </c>
      <c r="G341" s="2"/>
      <c r="H341" s="57"/>
      <c r="I341" s="2"/>
    </row>
    <row r="342" spans="1:9" x14ac:dyDescent="0.25">
      <c r="A342" s="2"/>
      <c r="B342" s="2"/>
      <c r="C342" s="446" t="s">
        <v>90</v>
      </c>
      <c r="D342" s="447"/>
      <c r="E342" s="251">
        <f>G231*G123</f>
        <v>6.545454545454545</v>
      </c>
      <c r="F342" s="392" t="s">
        <v>67</v>
      </c>
      <c r="G342" s="2"/>
      <c r="H342" s="2"/>
      <c r="I342" s="2"/>
    </row>
    <row r="343" spans="1:9" x14ac:dyDescent="0.25">
      <c r="A343" s="2"/>
      <c r="B343" s="2"/>
      <c r="C343" s="448" t="s">
        <v>91</v>
      </c>
      <c r="D343" s="449"/>
      <c r="E343" s="450" t="s">
        <v>87</v>
      </c>
      <c r="F343" s="451"/>
      <c r="G343" s="2"/>
      <c r="H343" s="2"/>
      <c r="I343" s="2"/>
    </row>
    <row r="344" spans="1:9" x14ac:dyDescent="0.25">
      <c r="A344" s="2"/>
      <c r="B344" s="2"/>
      <c r="C344" s="452" t="s">
        <v>92</v>
      </c>
      <c r="D344" s="534"/>
      <c r="E344" s="251">
        <f>G250*G123</f>
        <v>6.545454545454545</v>
      </c>
      <c r="F344" s="392" t="s">
        <v>80</v>
      </c>
      <c r="G344" s="2"/>
      <c r="H344" s="2"/>
      <c r="I344" s="2"/>
    </row>
    <row r="345" spans="1:9" x14ac:dyDescent="0.25">
      <c r="A345" s="2"/>
      <c r="B345" s="2"/>
      <c r="C345" s="2"/>
      <c r="D345" s="2"/>
      <c r="E345" s="2"/>
      <c r="F345" s="2"/>
      <c r="G345" s="2"/>
      <c r="H345" s="2"/>
      <c r="I345" s="2"/>
    </row>
    <row r="346" spans="1:9" x14ac:dyDescent="0.25">
      <c r="A346" s="2"/>
      <c r="B346" s="2"/>
      <c r="C346" s="2"/>
      <c r="D346" s="2"/>
      <c r="E346" s="2"/>
      <c r="F346" s="2"/>
      <c r="G346" s="2"/>
      <c r="H346" s="2"/>
      <c r="I346" s="2"/>
    </row>
    <row r="347" spans="1:9" x14ac:dyDescent="0.25">
      <c r="A347" s="22" t="s">
        <v>671</v>
      </c>
      <c r="B347" s="2"/>
      <c r="C347" s="2"/>
      <c r="D347" s="2"/>
      <c r="E347" s="2"/>
      <c r="F347" s="2"/>
      <c r="G347" s="2"/>
      <c r="H347" s="2"/>
      <c r="I347" s="2"/>
    </row>
    <row r="348" spans="1:9" x14ac:dyDescent="0.25">
      <c r="A348" s="2"/>
      <c r="B348" s="2"/>
      <c r="C348" s="2"/>
      <c r="D348" s="2"/>
      <c r="E348" s="2"/>
      <c r="F348" s="2"/>
      <c r="G348" s="2"/>
      <c r="H348" s="2"/>
      <c r="I348" s="2"/>
    </row>
    <row r="349" spans="1:9" ht="15" customHeight="1" x14ac:dyDescent="0.25">
      <c r="A349" s="2"/>
      <c r="B349" s="2"/>
      <c r="C349" s="448" t="s">
        <v>72</v>
      </c>
      <c r="D349" s="457"/>
      <c r="E349" s="458" t="s">
        <v>87</v>
      </c>
      <c r="F349" s="459"/>
      <c r="G349" s="2"/>
      <c r="H349" s="2"/>
      <c r="I349" s="2"/>
    </row>
    <row r="350" spans="1:9" x14ac:dyDescent="0.25">
      <c r="A350" s="2"/>
      <c r="B350" s="2"/>
      <c r="C350" s="446" t="s">
        <v>39</v>
      </c>
      <c r="D350" s="447"/>
      <c r="E350" s="92">
        <f>E211</f>
        <v>20.978999999999999</v>
      </c>
      <c r="F350" s="93" t="s">
        <v>35</v>
      </c>
      <c r="G350" s="2"/>
      <c r="H350" s="2"/>
      <c r="I350" s="2"/>
    </row>
    <row r="351" spans="1:9" ht="15.75" x14ac:dyDescent="0.25">
      <c r="A351" s="2"/>
      <c r="B351" s="2"/>
      <c r="C351" s="446" t="s">
        <v>623</v>
      </c>
      <c r="D351" s="447"/>
      <c r="E351" s="92">
        <f>E212</f>
        <v>2.97675</v>
      </c>
      <c r="F351" s="93" t="s">
        <v>88</v>
      </c>
      <c r="G351" s="2"/>
      <c r="H351" s="2"/>
      <c r="I351" s="2"/>
    </row>
    <row r="352" spans="1:9" ht="15.75" x14ac:dyDescent="0.25">
      <c r="A352" s="2"/>
      <c r="B352" s="2"/>
      <c r="C352" s="446" t="s">
        <v>89</v>
      </c>
      <c r="D352" s="447"/>
      <c r="E352" s="94">
        <f>E213</f>
        <v>0.75977999999999979</v>
      </c>
      <c r="F352" s="95" t="s">
        <v>88</v>
      </c>
      <c r="G352" s="2"/>
      <c r="H352" s="2"/>
      <c r="I352" s="2"/>
    </row>
    <row r="353" spans="1:9" x14ac:dyDescent="0.25">
      <c r="A353" s="2"/>
      <c r="B353" s="2"/>
      <c r="C353" s="448" t="s">
        <v>65</v>
      </c>
      <c r="D353" s="449"/>
      <c r="E353" s="450" t="s">
        <v>87</v>
      </c>
      <c r="F353" s="451"/>
      <c r="G353" s="2"/>
      <c r="H353" s="2"/>
      <c r="I353" s="2"/>
    </row>
    <row r="354" spans="1:9" x14ac:dyDescent="0.25">
      <c r="A354" s="2"/>
      <c r="B354" s="2"/>
      <c r="C354" s="446" t="s">
        <v>11</v>
      </c>
      <c r="D354" s="447"/>
      <c r="E354" s="251">
        <f>G237*G124</f>
        <v>2.16</v>
      </c>
      <c r="F354" s="392" t="s">
        <v>67</v>
      </c>
      <c r="G354" s="2"/>
      <c r="H354" s="96"/>
      <c r="I354" s="2"/>
    </row>
    <row r="355" spans="1:9" x14ac:dyDescent="0.25">
      <c r="A355" s="2"/>
      <c r="B355" s="2"/>
      <c r="C355" s="446" t="s">
        <v>12</v>
      </c>
      <c r="D355" s="447"/>
      <c r="E355" s="251">
        <f>G238*G124</f>
        <v>21.599999999999998</v>
      </c>
      <c r="F355" s="392" t="s">
        <v>67</v>
      </c>
      <c r="G355" s="2"/>
      <c r="H355" s="97"/>
      <c r="I355" s="2"/>
    </row>
    <row r="356" spans="1:9" x14ac:dyDescent="0.25">
      <c r="A356" s="2"/>
      <c r="B356" s="2"/>
      <c r="C356" s="446" t="s">
        <v>13</v>
      </c>
      <c r="D356" s="447"/>
      <c r="E356" s="251">
        <f>G239*G124</f>
        <v>7.2</v>
      </c>
      <c r="F356" s="392" t="s">
        <v>67</v>
      </c>
      <c r="G356" s="2"/>
      <c r="H356" s="97"/>
      <c r="I356" s="2"/>
    </row>
    <row r="357" spans="1:9" x14ac:dyDescent="0.25">
      <c r="A357" s="2"/>
      <c r="B357" s="2"/>
      <c r="C357" s="446" t="s">
        <v>14</v>
      </c>
      <c r="D357" s="447"/>
      <c r="E357" s="251">
        <f>G240*G124</f>
        <v>43.199999999999996</v>
      </c>
      <c r="F357" s="392" t="s">
        <v>67</v>
      </c>
      <c r="G357" s="2"/>
      <c r="H357" s="57"/>
      <c r="I357" s="2"/>
    </row>
    <row r="358" spans="1:9" x14ac:dyDescent="0.25">
      <c r="A358" s="2"/>
      <c r="B358" s="2"/>
      <c r="C358" s="446" t="s">
        <v>90</v>
      </c>
      <c r="D358" s="447"/>
      <c r="E358" s="251">
        <f>G241*G124</f>
        <v>7.2</v>
      </c>
      <c r="F358" s="392" t="s">
        <v>67</v>
      </c>
      <c r="G358" s="2"/>
      <c r="H358" s="2"/>
      <c r="I358" s="2"/>
    </row>
    <row r="359" spans="1:9" x14ac:dyDescent="0.25">
      <c r="A359" s="2"/>
      <c r="B359" s="2"/>
      <c r="C359" s="448" t="s">
        <v>91</v>
      </c>
      <c r="D359" s="449"/>
      <c r="E359" s="450" t="s">
        <v>87</v>
      </c>
      <c r="F359" s="451"/>
      <c r="G359" s="2"/>
      <c r="H359" s="2"/>
      <c r="I359" s="2"/>
    </row>
    <row r="360" spans="1:9" x14ac:dyDescent="0.25">
      <c r="A360" s="2"/>
      <c r="B360" s="2"/>
      <c r="C360" s="452" t="s">
        <v>92</v>
      </c>
      <c r="D360" s="534"/>
      <c r="E360" s="251">
        <f>G257*G124</f>
        <v>7.2</v>
      </c>
      <c r="F360" s="392" t="s">
        <v>80</v>
      </c>
      <c r="G360" s="2"/>
      <c r="H360" s="2"/>
      <c r="I360" s="2"/>
    </row>
    <row r="361" spans="1:9" x14ac:dyDescent="0.25">
      <c r="A361" s="2"/>
      <c r="B361" s="2"/>
      <c r="C361" s="2"/>
      <c r="D361" s="2"/>
      <c r="E361" s="2"/>
      <c r="F361" s="2"/>
      <c r="G361" s="2"/>
      <c r="H361" s="2"/>
      <c r="I361" s="2"/>
    </row>
  </sheetData>
  <mergeCells count="222">
    <mergeCell ref="C29:H29"/>
    <mergeCell ref="C30:C31"/>
    <mergeCell ref="D30:D31"/>
    <mergeCell ref="E30:G30"/>
    <mergeCell ref="B32:B34"/>
    <mergeCell ref="B40:B41"/>
    <mergeCell ref="B1:G2"/>
    <mergeCell ref="A12:C12"/>
    <mergeCell ref="C17:C18"/>
    <mergeCell ref="D17:D18"/>
    <mergeCell ref="E17:G17"/>
    <mergeCell ref="B19:B22"/>
    <mergeCell ref="H49:H50"/>
    <mergeCell ref="A51:B51"/>
    <mergeCell ref="C51:C52"/>
    <mergeCell ref="D51:D52"/>
    <mergeCell ref="E51:E52"/>
    <mergeCell ref="F51:F52"/>
    <mergeCell ref="G51:G52"/>
    <mergeCell ref="H51:H52"/>
    <mergeCell ref="B46:H46"/>
    <mergeCell ref="A47:B48"/>
    <mergeCell ref="C47:C48"/>
    <mergeCell ref="D47:H47"/>
    <mergeCell ref="A49:B49"/>
    <mergeCell ref="C49:C50"/>
    <mergeCell ref="D49:D50"/>
    <mergeCell ref="E49:E50"/>
    <mergeCell ref="F49:F50"/>
    <mergeCell ref="G49:G50"/>
    <mergeCell ref="B67:C67"/>
    <mergeCell ref="B68:C68"/>
    <mergeCell ref="B69:C69"/>
    <mergeCell ref="B73:C73"/>
    <mergeCell ref="E73:F73"/>
    <mergeCell ref="G73:H73"/>
    <mergeCell ref="D61:G61"/>
    <mergeCell ref="C62:F62"/>
    <mergeCell ref="B65:C65"/>
    <mergeCell ref="E65:F65"/>
    <mergeCell ref="G65:H65"/>
    <mergeCell ref="B66:C66"/>
    <mergeCell ref="B86:D86"/>
    <mergeCell ref="B87:D87"/>
    <mergeCell ref="B91:C91"/>
    <mergeCell ref="B92:C92"/>
    <mergeCell ref="B93:D93"/>
    <mergeCell ref="B94:D94"/>
    <mergeCell ref="B74:C74"/>
    <mergeCell ref="B77:D77"/>
    <mergeCell ref="F77:G78"/>
    <mergeCell ref="B83:G83"/>
    <mergeCell ref="B84:G84"/>
    <mergeCell ref="B85:D85"/>
    <mergeCell ref="B107:G107"/>
    <mergeCell ref="B111:C111"/>
    <mergeCell ref="E111:F112"/>
    <mergeCell ref="G117:H119"/>
    <mergeCell ref="A122:C122"/>
    <mergeCell ref="A128:C128"/>
    <mergeCell ref="B95:D95"/>
    <mergeCell ref="B96:D96"/>
    <mergeCell ref="B97:D97"/>
    <mergeCell ref="B99:G99"/>
    <mergeCell ref="B105:D105"/>
    <mergeCell ref="B106:D106"/>
    <mergeCell ref="F156:H156"/>
    <mergeCell ref="B158:D158"/>
    <mergeCell ref="C161:E161"/>
    <mergeCell ref="A177:H177"/>
    <mergeCell ref="F188:H188"/>
    <mergeCell ref="B190:D190"/>
    <mergeCell ref="C132:D132"/>
    <mergeCell ref="B133:D133"/>
    <mergeCell ref="B138:D138"/>
    <mergeCell ref="C143:D143"/>
    <mergeCell ref="B144:D144"/>
    <mergeCell ref="B149:D149"/>
    <mergeCell ref="G235:G236"/>
    <mergeCell ref="C193:E193"/>
    <mergeCell ref="A209:H209"/>
    <mergeCell ref="A217:C217"/>
    <mergeCell ref="D221:E221"/>
    <mergeCell ref="C224:D224"/>
    <mergeCell ref="C225:D226"/>
    <mergeCell ref="E225:E226"/>
    <mergeCell ref="F225:F226"/>
    <mergeCell ref="G225:G226"/>
    <mergeCell ref="C237:D238"/>
    <mergeCell ref="A244:D244"/>
    <mergeCell ref="C247:D247"/>
    <mergeCell ref="C248:D249"/>
    <mergeCell ref="E248:E249"/>
    <mergeCell ref="F248:F249"/>
    <mergeCell ref="C227:D228"/>
    <mergeCell ref="C234:D234"/>
    <mergeCell ref="C235:D236"/>
    <mergeCell ref="E235:E236"/>
    <mergeCell ref="F235:F236"/>
    <mergeCell ref="G255:G256"/>
    <mergeCell ref="C257:D258"/>
    <mergeCell ref="E257:E258"/>
    <mergeCell ref="F257:F258"/>
    <mergeCell ref="G257:G258"/>
    <mergeCell ref="G248:G249"/>
    <mergeCell ref="C250:D251"/>
    <mergeCell ref="E250:E251"/>
    <mergeCell ref="F250:F251"/>
    <mergeCell ref="G250:G251"/>
    <mergeCell ref="C254:D254"/>
    <mergeCell ref="A262:D262"/>
    <mergeCell ref="C265:D265"/>
    <mergeCell ref="E265:F265"/>
    <mergeCell ref="C266:D266"/>
    <mergeCell ref="A269:B269"/>
    <mergeCell ref="C269:E269"/>
    <mergeCell ref="C255:D256"/>
    <mergeCell ref="E255:E256"/>
    <mergeCell ref="F255:F256"/>
    <mergeCell ref="A272:B272"/>
    <mergeCell ref="G272:H272"/>
    <mergeCell ref="A273:H273"/>
    <mergeCell ref="A274:B274"/>
    <mergeCell ref="G274:G278"/>
    <mergeCell ref="H274:H278"/>
    <mergeCell ref="A275:B275"/>
    <mergeCell ref="A276:B276"/>
    <mergeCell ref="A277:B277"/>
    <mergeCell ref="A278:B278"/>
    <mergeCell ref="A283:H283"/>
    <mergeCell ref="A284:B284"/>
    <mergeCell ref="G284:G285"/>
    <mergeCell ref="H284:H285"/>
    <mergeCell ref="A285:B285"/>
    <mergeCell ref="A288:B288"/>
    <mergeCell ref="C288:D288"/>
    <mergeCell ref="A279:H279"/>
    <mergeCell ref="A280:B280"/>
    <mergeCell ref="G280:G282"/>
    <mergeCell ref="H280:H282"/>
    <mergeCell ref="A281:B281"/>
    <mergeCell ref="A282:B282"/>
    <mergeCell ref="A298:H298"/>
    <mergeCell ref="A299:B299"/>
    <mergeCell ref="G299:G301"/>
    <mergeCell ref="H299:H301"/>
    <mergeCell ref="A300:B300"/>
    <mergeCell ref="A301:B301"/>
    <mergeCell ref="A291:B291"/>
    <mergeCell ref="G291:H291"/>
    <mergeCell ref="A292:H292"/>
    <mergeCell ref="A293:B293"/>
    <mergeCell ref="G293:G297"/>
    <mergeCell ref="H293:H297"/>
    <mergeCell ref="A294:B294"/>
    <mergeCell ref="A295:B295"/>
    <mergeCell ref="A296:B296"/>
    <mergeCell ref="A297:B297"/>
    <mergeCell ref="C310:D310"/>
    <mergeCell ref="E310:F310"/>
    <mergeCell ref="C311:D311"/>
    <mergeCell ref="B313:C314"/>
    <mergeCell ref="D313:D314"/>
    <mergeCell ref="E313:E314"/>
    <mergeCell ref="F313:F314"/>
    <mergeCell ref="A302:H302"/>
    <mergeCell ref="A303:B303"/>
    <mergeCell ref="G303:G304"/>
    <mergeCell ref="H303:H304"/>
    <mergeCell ref="A304:B304"/>
    <mergeCell ref="A308:E308"/>
    <mergeCell ref="B318:C318"/>
    <mergeCell ref="D318:D320"/>
    <mergeCell ref="E318:E320"/>
    <mergeCell ref="F318:F320"/>
    <mergeCell ref="G318:G320"/>
    <mergeCell ref="H318:H320"/>
    <mergeCell ref="G313:H314"/>
    <mergeCell ref="B315:C315"/>
    <mergeCell ref="D315:D317"/>
    <mergeCell ref="E315:E317"/>
    <mergeCell ref="F315:F317"/>
    <mergeCell ref="G315:G317"/>
    <mergeCell ref="H315:H317"/>
    <mergeCell ref="C329:D329"/>
    <mergeCell ref="C333:D333"/>
    <mergeCell ref="E333:F333"/>
    <mergeCell ref="C334:D334"/>
    <mergeCell ref="C335:D335"/>
    <mergeCell ref="C336:D336"/>
    <mergeCell ref="B321:F321"/>
    <mergeCell ref="G321:G322"/>
    <mergeCell ref="H321:H322"/>
    <mergeCell ref="C322:D322"/>
    <mergeCell ref="A326:G326"/>
    <mergeCell ref="C328:D328"/>
    <mergeCell ref="E328:F328"/>
    <mergeCell ref="C342:D342"/>
    <mergeCell ref="C343:D343"/>
    <mergeCell ref="E343:F343"/>
    <mergeCell ref="C344:D344"/>
    <mergeCell ref="C349:D349"/>
    <mergeCell ref="E349:F349"/>
    <mergeCell ref="C337:D337"/>
    <mergeCell ref="E337:F337"/>
    <mergeCell ref="C338:D338"/>
    <mergeCell ref="C339:D339"/>
    <mergeCell ref="C340:D340"/>
    <mergeCell ref="C341:D341"/>
    <mergeCell ref="C360:D360"/>
    <mergeCell ref="C355:D355"/>
    <mergeCell ref="C356:D356"/>
    <mergeCell ref="C357:D357"/>
    <mergeCell ref="C358:D358"/>
    <mergeCell ref="C359:D359"/>
    <mergeCell ref="E359:F359"/>
    <mergeCell ref="C350:D350"/>
    <mergeCell ref="C351:D351"/>
    <mergeCell ref="C352:D352"/>
    <mergeCell ref="C353:D353"/>
    <mergeCell ref="E353:F353"/>
    <mergeCell ref="C354:D354"/>
  </mergeCells>
  <dataValidations count="4">
    <dataValidation type="list" allowBlank="1" showInputMessage="1" showErrorMessage="1" sqref="D111" xr:uid="{00000000-0002-0000-0400-000000000000}">
      <formula1>$A$109:$A$110</formula1>
    </dataValidation>
    <dataValidation type="list" allowBlank="1" showInputMessage="1" showErrorMessage="1" sqref="E77" xr:uid="{00000000-0002-0000-0400-000001000000}">
      <formula1>$B$75:$B$76</formula1>
    </dataValidation>
    <dataValidation type="list" allowBlank="1" showInputMessage="1" showErrorMessage="1" sqref="F36" xr:uid="{00000000-0002-0000-0400-000002000000}">
      <formula1>$C$32:$C$34</formula1>
    </dataValidation>
    <dataValidation type="list" allowBlank="1" showInputMessage="1" showErrorMessage="1" sqref="F24" xr:uid="{00000000-0002-0000-0400-000003000000}">
      <formula1>$C$19:$C$22</formula1>
    </dataValidation>
  </dataValidation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P476"/>
  <sheetViews>
    <sheetView workbookViewId="0">
      <selection activeCell="L15" sqref="L15"/>
    </sheetView>
  </sheetViews>
  <sheetFormatPr baseColWidth="10" defaultRowHeight="15" x14ac:dyDescent="0.25"/>
  <cols>
    <col min="1" max="1" width="7.7109375" customWidth="1"/>
    <col min="2" max="2" width="10.42578125" customWidth="1"/>
    <col min="3" max="3" width="12.140625" customWidth="1"/>
    <col min="4" max="4" width="12" customWidth="1"/>
    <col min="5" max="5" width="13.5703125" customWidth="1"/>
    <col min="6" max="6" width="13.42578125" customWidth="1"/>
    <col min="7" max="7" width="11.7109375" customWidth="1"/>
    <col min="8" max="8" width="10.85546875" customWidth="1"/>
  </cols>
  <sheetData>
    <row r="1" spans="1:9" ht="15" customHeight="1" x14ac:dyDescent="0.25">
      <c r="A1" s="1"/>
      <c r="B1" s="791" t="s">
        <v>692</v>
      </c>
      <c r="C1" s="792"/>
      <c r="D1" s="792"/>
      <c r="E1" s="792"/>
      <c r="F1" s="792"/>
      <c r="G1" s="793"/>
      <c r="H1" s="2"/>
      <c r="I1" s="2"/>
    </row>
    <row r="2" spans="1:9" ht="15" customHeight="1" thickBot="1" x14ac:dyDescent="0.3">
      <c r="A2" s="3"/>
      <c r="B2" s="794"/>
      <c r="C2" s="795"/>
      <c r="D2" s="795"/>
      <c r="E2" s="795"/>
      <c r="F2" s="795"/>
      <c r="G2" s="796"/>
      <c r="H2" s="2"/>
      <c r="I2" s="2"/>
    </row>
    <row r="3" spans="1:9" ht="15" customHeight="1" x14ac:dyDescent="0.25">
      <c r="A3" s="3"/>
      <c r="B3" s="163"/>
      <c r="C3" s="163"/>
      <c r="D3" s="163"/>
      <c r="E3" s="163"/>
      <c r="F3" s="163"/>
      <c r="G3" s="163"/>
      <c r="H3" s="2"/>
      <c r="I3" s="2"/>
    </row>
    <row r="4" spans="1:9" ht="15" customHeight="1" x14ac:dyDescent="0.25">
      <c r="A4" s="3"/>
      <c r="B4" s="163"/>
      <c r="C4" s="163"/>
      <c r="D4" s="163"/>
      <c r="E4" s="163"/>
      <c r="F4" s="163"/>
      <c r="G4" s="163"/>
      <c r="H4" s="2"/>
      <c r="I4" s="2"/>
    </row>
    <row r="5" spans="1:9" ht="15" customHeight="1" x14ac:dyDescent="0.25">
      <c r="A5" s="3"/>
      <c r="B5" s="163"/>
      <c r="C5" s="163"/>
      <c r="D5" s="163"/>
      <c r="E5" s="163"/>
      <c r="F5" s="163"/>
      <c r="G5" s="163"/>
      <c r="H5" s="2"/>
      <c r="I5" s="2"/>
    </row>
    <row r="6" spans="1:9" ht="15" customHeight="1" x14ac:dyDescent="0.25">
      <c r="A6" s="3"/>
      <c r="B6" s="163"/>
      <c r="C6" s="163"/>
      <c r="D6" s="163"/>
      <c r="E6" s="163"/>
      <c r="F6" s="163"/>
      <c r="G6" s="163"/>
      <c r="H6" s="2"/>
      <c r="I6" s="2"/>
    </row>
    <row r="7" spans="1:9" ht="15" customHeight="1" x14ac:dyDescent="0.25">
      <c r="A7" s="3"/>
      <c r="B7" s="163"/>
      <c r="C7" s="163"/>
      <c r="D7" s="163"/>
      <c r="E7" s="163"/>
      <c r="F7" s="163"/>
      <c r="G7" s="163"/>
      <c r="H7" s="2"/>
      <c r="I7" s="2"/>
    </row>
    <row r="8" spans="1:9" ht="15" customHeight="1" x14ac:dyDescent="0.25">
      <c r="A8" s="3"/>
      <c r="B8" s="163"/>
      <c r="C8" s="163"/>
      <c r="D8" s="163"/>
      <c r="E8" s="163"/>
      <c r="F8" s="163"/>
      <c r="G8" s="163"/>
      <c r="H8" s="2"/>
      <c r="I8" s="2"/>
    </row>
    <row r="9" spans="1:9" ht="15" customHeight="1" x14ac:dyDescent="0.25">
      <c r="A9" s="3"/>
      <c r="B9" s="163"/>
      <c r="C9" s="163"/>
      <c r="D9" s="163"/>
      <c r="E9" s="163"/>
      <c r="F9" s="163"/>
      <c r="G9" s="163"/>
      <c r="H9" s="2"/>
      <c r="I9" s="2"/>
    </row>
    <row r="10" spans="1:9" ht="15" customHeight="1" x14ac:dyDescent="0.25">
      <c r="A10" s="3"/>
      <c r="B10" s="163"/>
      <c r="C10" s="163"/>
      <c r="D10" s="163"/>
      <c r="E10" s="163"/>
      <c r="F10" s="163"/>
      <c r="G10" s="163"/>
      <c r="H10" s="2"/>
      <c r="I10" s="2"/>
    </row>
    <row r="11" spans="1:9" ht="15" customHeight="1" x14ac:dyDescent="0.25">
      <c r="A11" s="3"/>
      <c r="B11" s="163"/>
      <c r="C11" s="163"/>
      <c r="D11" s="163"/>
      <c r="E11" s="163"/>
      <c r="F11" s="163"/>
      <c r="G11" s="163"/>
      <c r="H11" s="2"/>
      <c r="I11" s="2"/>
    </row>
    <row r="12" spans="1:9" ht="15" customHeight="1" x14ac:dyDescent="0.25">
      <c r="A12" s="3"/>
      <c r="B12" s="163"/>
      <c r="C12" s="163"/>
      <c r="D12" s="163"/>
      <c r="E12" s="163"/>
      <c r="F12" s="163"/>
      <c r="G12" s="163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15.75" x14ac:dyDescent="0.25">
      <c r="A14" s="786" t="s">
        <v>0</v>
      </c>
      <c r="B14" s="786"/>
      <c r="C14" s="786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399" t="s">
        <v>183</v>
      </c>
      <c r="B16" s="399"/>
      <c r="C16" s="399"/>
      <c r="D16" s="22"/>
      <c r="E16" s="167" t="s">
        <v>323</v>
      </c>
      <c r="F16" s="2"/>
      <c r="G16" s="2"/>
      <c r="H16" s="2"/>
      <c r="I16" s="2"/>
    </row>
    <row r="17" spans="1:9" x14ac:dyDescent="0.25">
      <c r="A17" s="22"/>
      <c r="B17" s="2"/>
      <c r="C17" s="2"/>
      <c r="D17" s="168"/>
      <c r="E17" s="168"/>
      <c r="F17" s="168"/>
      <c r="G17" s="168"/>
      <c r="H17" s="168"/>
      <c r="I17" s="2"/>
    </row>
    <row r="18" spans="1:9" x14ac:dyDescent="0.25">
      <c r="A18" s="22"/>
      <c r="B18" s="2"/>
      <c r="C18" s="2"/>
      <c r="D18" s="168"/>
      <c r="E18" s="168"/>
      <c r="F18" s="168"/>
      <c r="G18" s="168"/>
      <c r="H18" s="168"/>
      <c r="I18" s="2"/>
    </row>
    <row r="19" spans="1:9" x14ac:dyDescent="0.25">
      <c r="A19" s="2"/>
      <c r="B19" s="100" t="s">
        <v>184</v>
      </c>
      <c r="C19" s="101"/>
      <c r="D19" s="104" t="s">
        <v>185</v>
      </c>
      <c r="E19" s="2"/>
      <c r="F19" s="2"/>
      <c r="G19" s="2"/>
      <c r="H19" s="2"/>
      <c r="I19" s="2"/>
    </row>
    <row r="20" spans="1:9" x14ac:dyDescent="0.25">
      <c r="A20" s="2"/>
      <c r="B20" s="22"/>
      <c r="C20" s="2"/>
      <c r="D20" s="104"/>
      <c r="E20" s="2"/>
      <c r="F20" s="2"/>
      <c r="G20" s="2"/>
      <c r="H20" s="2"/>
      <c r="I20" s="2"/>
    </row>
    <row r="21" spans="1:9" x14ac:dyDescent="0.25">
      <c r="A21" s="2"/>
      <c r="B21" s="2"/>
      <c r="C21" s="537" t="s">
        <v>186</v>
      </c>
      <c r="D21" s="537"/>
      <c r="E21" s="537"/>
      <c r="F21" s="537"/>
      <c r="G21" s="537"/>
      <c r="H21" s="537"/>
      <c r="I21" s="2"/>
    </row>
    <row r="22" spans="1:9" ht="15.75" x14ac:dyDescent="0.25">
      <c r="A22" s="2"/>
      <c r="B22" s="2"/>
      <c r="C22" s="507" t="s">
        <v>278</v>
      </c>
      <c r="D22" s="504" t="s">
        <v>187</v>
      </c>
      <c r="E22" s="497" t="s">
        <v>279</v>
      </c>
      <c r="F22" s="497"/>
      <c r="G22" s="497"/>
      <c r="H22" s="497"/>
      <c r="I22" s="2"/>
    </row>
    <row r="23" spans="1:9" x14ac:dyDescent="0.25">
      <c r="A23" s="2"/>
      <c r="B23" s="2"/>
      <c r="C23" s="507"/>
      <c r="D23" s="504"/>
      <c r="E23" s="169" t="s">
        <v>188</v>
      </c>
      <c r="F23" s="169" t="s">
        <v>280</v>
      </c>
      <c r="G23" s="169" t="s">
        <v>281</v>
      </c>
      <c r="H23" s="169" t="s">
        <v>282</v>
      </c>
      <c r="I23" s="2"/>
    </row>
    <row r="24" spans="1:9" x14ac:dyDescent="0.25">
      <c r="A24" s="2"/>
      <c r="B24" s="2"/>
      <c r="C24" s="11">
        <v>140</v>
      </c>
      <c r="D24" s="11" t="s">
        <v>189</v>
      </c>
      <c r="E24" s="12">
        <v>7.01</v>
      </c>
      <c r="F24" s="12">
        <v>0.56000000000000005</v>
      </c>
      <c r="G24" s="12">
        <v>0.64</v>
      </c>
      <c r="H24" s="170">
        <v>0.184</v>
      </c>
      <c r="I24" s="2"/>
    </row>
    <row r="25" spans="1:9" x14ac:dyDescent="0.25">
      <c r="A25" s="2"/>
      <c r="B25" s="2"/>
      <c r="C25" s="11">
        <v>175</v>
      </c>
      <c r="D25" s="11" t="s">
        <v>190</v>
      </c>
      <c r="E25" s="12">
        <v>8.43</v>
      </c>
      <c r="F25" s="12">
        <v>0.54</v>
      </c>
      <c r="G25" s="12">
        <v>0.55000000000000004</v>
      </c>
      <c r="H25" s="170">
        <v>0.185</v>
      </c>
      <c r="I25" s="2"/>
    </row>
    <row r="26" spans="1:9" x14ac:dyDescent="0.25">
      <c r="A26" s="2"/>
      <c r="B26" s="2"/>
      <c r="C26" s="11">
        <v>210</v>
      </c>
      <c r="D26" s="171" t="s">
        <v>283</v>
      </c>
      <c r="E26" s="12">
        <v>9.73</v>
      </c>
      <c r="F26" s="12">
        <v>0.52</v>
      </c>
      <c r="G26" s="12">
        <v>0.53</v>
      </c>
      <c r="H26" s="170">
        <v>0.186</v>
      </c>
      <c r="I26" s="2"/>
    </row>
    <row r="27" spans="1:9" x14ac:dyDescent="0.25">
      <c r="A27" s="2"/>
      <c r="B27" s="545" t="s">
        <v>693</v>
      </c>
      <c r="C27" s="11">
        <v>245</v>
      </c>
      <c r="D27" s="171" t="s">
        <v>191</v>
      </c>
      <c r="E27" s="12">
        <v>11.5</v>
      </c>
      <c r="F27" s="12">
        <v>0.5</v>
      </c>
      <c r="G27" s="12">
        <v>0.51</v>
      </c>
      <c r="H27" s="170">
        <v>0.187</v>
      </c>
      <c r="I27" s="2"/>
    </row>
    <row r="28" spans="1:9" ht="15" customHeight="1" x14ac:dyDescent="0.25">
      <c r="A28" s="2"/>
      <c r="B28" s="545"/>
      <c r="C28" s="11">
        <v>280</v>
      </c>
      <c r="D28" s="171" t="s">
        <v>284</v>
      </c>
      <c r="E28" s="12">
        <v>13.34</v>
      </c>
      <c r="F28" s="12">
        <v>0.45</v>
      </c>
      <c r="G28" s="12">
        <v>0.51</v>
      </c>
      <c r="H28" s="170">
        <v>0.189</v>
      </c>
      <c r="I28" s="2"/>
    </row>
    <row r="29" spans="1:9" x14ac:dyDescent="0.25">
      <c r="A29" s="2"/>
      <c r="B29" s="545"/>
      <c r="C29" s="172" t="s">
        <v>285</v>
      </c>
      <c r="D29" s="68"/>
      <c r="E29" s="68"/>
      <c r="F29" s="68"/>
      <c r="G29" s="68"/>
      <c r="H29" s="68"/>
      <c r="I29" s="2"/>
    </row>
    <row r="30" spans="1:9" x14ac:dyDescent="0.25">
      <c r="A30" s="2"/>
      <c r="B30" s="545"/>
      <c r="C30" s="98"/>
      <c r="D30" s="68"/>
      <c r="E30" s="68"/>
      <c r="F30" s="68"/>
      <c r="G30" s="68"/>
      <c r="H30" s="68"/>
      <c r="I30" s="2"/>
    </row>
    <row r="31" spans="1:9" x14ac:dyDescent="0.25">
      <c r="A31" s="2"/>
      <c r="B31" s="545"/>
      <c r="C31" s="6" t="s">
        <v>192</v>
      </c>
      <c r="D31" s="68"/>
      <c r="E31" s="17">
        <v>210</v>
      </c>
      <c r="F31" s="35" t="s">
        <v>193</v>
      </c>
      <c r="G31" s="673" t="s">
        <v>403</v>
      </c>
      <c r="H31" s="673"/>
      <c r="I31" s="2"/>
    </row>
    <row r="32" spans="1:9" x14ac:dyDescent="0.25">
      <c r="A32" s="2"/>
      <c r="B32" s="2"/>
      <c r="C32" s="173"/>
      <c r="D32" s="2"/>
      <c r="E32" s="2"/>
      <c r="F32" s="2"/>
      <c r="G32" s="673"/>
      <c r="H32" s="673"/>
      <c r="I32" s="2"/>
    </row>
    <row r="33" spans="1:10" x14ac:dyDescent="0.25">
      <c r="A33" s="2"/>
      <c r="B33" s="2"/>
      <c r="C33" s="173"/>
      <c r="D33" s="2"/>
      <c r="E33" s="2"/>
      <c r="F33" s="2"/>
      <c r="G33" s="174"/>
      <c r="H33" s="174"/>
      <c r="I33" s="2"/>
    </row>
    <row r="34" spans="1:10" ht="15.75" x14ac:dyDescent="0.25">
      <c r="A34" s="2"/>
      <c r="B34" s="2"/>
      <c r="C34" s="25" t="s">
        <v>195</v>
      </c>
      <c r="D34" s="2"/>
      <c r="E34" s="2"/>
      <c r="F34" s="175">
        <f>IF(E31=C24,E24,IF(AND(E31=C25),E25,IF(AND(E31=C26),E26,IF(AND(E31=C27),E27,IF(AND(E31=C28),E28)))))</f>
        <v>9.73</v>
      </c>
      <c r="G34" s="25" t="s">
        <v>286</v>
      </c>
      <c r="H34" s="25"/>
      <c r="I34" s="2"/>
    </row>
    <row r="35" spans="1:10" ht="15.75" x14ac:dyDescent="0.25">
      <c r="A35" s="2"/>
      <c r="B35" s="2"/>
      <c r="C35" s="25" t="s">
        <v>196</v>
      </c>
      <c r="D35" s="2"/>
      <c r="E35" s="2"/>
      <c r="F35" s="175">
        <f>IF(E31=C24,F24,IF(AND(E31=C25),F25,IF(AND(E31=C26),F26,IF(AND(E31=C27),F27,IF(AND(E31=C28),F28)))))</f>
        <v>0.52</v>
      </c>
      <c r="G35" s="25" t="s">
        <v>287</v>
      </c>
      <c r="H35" s="25"/>
      <c r="I35" s="2"/>
    </row>
    <row r="36" spans="1:10" ht="15.75" x14ac:dyDescent="0.25">
      <c r="A36" s="2"/>
      <c r="B36" s="2"/>
      <c r="C36" s="25" t="s">
        <v>197</v>
      </c>
      <c r="D36" s="2"/>
      <c r="E36" s="2"/>
      <c r="F36" s="175">
        <f>IF(E31=C24,G24,IF(AND(E31=C25),G25,IF(AND(E31=C26),G26,IF(AND(E31=C27),G27,IF(AND(E31=C28),G28)))))</f>
        <v>0.53</v>
      </c>
      <c r="G36" s="25" t="s">
        <v>287</v>
      </c>
      <c r="H36" s="25"/>
      <c r="I36" s="2"/>
    </row>
    <row r="37" spans="1:10" ht="15.75" x14ac:dyDescent="0.25">
      <c r="A37" s="2"/>
      <c r="B37" s="2"/>
      <c r="C37" s="25" t="s">
        <v>198</v>
      </c>
      <c r="D37" s="2"/>
      <c r="E37" s="2"/>
      <c r="F37" s="176">
        <f>IF(E31=C24,H24,IF(AND(E31=C25),H25,IF(AND(E31=C26),H26,IF(AND(E31=C27),H27,IF(AND(E31=C28),H28)))))</f>
        <v>0.186</v>
      </c>
      <c r="G37" s="25" t="s">
        <v>287</v>
      </c>
      <c r="H37" s="25"/>
      <c r="I37" s="2"/>
    </row>
    <row r="38" spans="1:10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10" ht="15" customHeight="1" x14ac:dyDescent="0.25">
      <c r="A39" s="2"/>
      <c r="B39" s="522" t="s">
        <v>4</v>
      </c>
      <c r="C39" s="2"/>
      <c r="D39" s="2"/>
      <c r="E39" s="2"/>
      <c r="F39" s="2"/>
      <c r="G39" s="2"/>
      <c r="H39" s="2"/>
      <c r="I39" s="2"/>
    </row>
    <row r="40" spans="1:10" x14ac:dyDescent="0.25">
      <c r="A40" s="2"/>
      <c r="B40" s="522"/>
      <c r="C40" s="2" t="s">
        <v>694</v>
      </c>
      <c r="D40" s="18"/>
      <c r="E40" s="7"/>
      <c r="F40" s="20">
        <v>0.05</v>
      </c>
      <c r="G40" s="13"/>
      <c r="H40" s="2"/>
      <c r="I40" s="21"/>
      <c r="J40" s="300"/>
    </row>
    <row r="41" spans="1:10" x14ac:dyDescent="0.25">
      <c r="A41" s="2"/>
      <c r="B41" s="522"/>
      <c r="C41" s="2"/>
      <c r="D41" s="2"/>
      <c r="E41" s="2"/>
      <c r="F41" s="2"/>
      <c r="G41" s="2"/>
      <c r="H41" s="2"/>
      <c r="I41" s="2"/>
    </row>
    <row r="42" spans="1:10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10" x14ac:dyDescent="0.25">
      <c r="A43" s="2"/>
      <c r="B43" s="100" t="s">
        <v>107</v>
      </c>
      <c r="C43" s="101"/>
      <c r="D43" s="101"/>
      <c r="E43" s="2"/>
      <c r="F43" s="2"/>
      <c r="G43" s="2"/>
      <c r="H43" s="2"/>
      <c r="I43" s="2"/>
    </row>
    <row r="44" spans="1:10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10" ht="15" customHeight="1" x14ac:dyDescent="0.25">
      <c r="A45" s="2"/>
      <c r="B45" s="2"/>
      <c r="C45" s="6" t="s">
        <v>108</v>
      </c>
      <c r="D45" s="2"/>
      <c r="E45" s="102">
        <v>0.3</v>
      </c>
      <c r="F45" s="2" t="s">
        <v>109</v>
      </c>
      <c r="G45" s="674" t="s">
        <v>348</v>
      </c>
      <c r="H45" s="674"/>
      <c r="I45" s="2"/>
    </row>
    <row r="46" spans="1:10" ht="15.75" x14ac:dyDescent="0.25">
      <c r="A46" s="2"/>
      <c r="B46" s="400"/>
      <c r="C46" s="6" t="s">
        <v>111</v>
      </c>
      <c r="D46" s="2"/>
      <c r="E46" s="103">
        <v>8.0000000000000002E-3</v>
      </c>
      <c r="F46" s="2" t="s">
        <v>112</v>
      </c>
      <c r="G46" s="674"/>
      <c r="H46" s="674"/>
      <c r="I46" s="2"/>
    </row>
    <row r="47" spans="1:10" x14ac:dyDescent="0.25">
      <c r="A47" s="2"/>
      <c r="B47" s="28" t="s">
        <v>147</v>
      </c>
      <c r="C47" s="2"/>
      <c r="D47" s="2"/>
      <c r="E47" s="2"/>
      <c r="F47" s="2"/>
      <c r="G47" s="184"/>
      <c r="H47" s="184"/>
      <c r="I47" s="2"/>
    </row>
    <row r="48" spans="1:10" ht="15" customHeight="1" x14ac:dyDescent="0.25">
      <c r="A48" s="2"/>
      <c r="B48" s="28" t="s">
        <v>148</v>
      </c>
      <c r="C48" s="25" t="s">
        <v>345</v>
      </c>
      <c r="D48" s="2"/>
      <c r="E48" s="2"/>
      <c r="F48" s="2"/>
      <c r="G48" s="258" t="s">
        <v>148</v>
      </c>
      <c r="H48" s="546" t="s">
        <v>349</v>
      </c>
      <c r="I48" s="546"/>
    </row>
    <row r="49" spans="1:9" x14ac:dyDescent="0.25">
      <c r="A49" s="2"/>
      <c r="B49" s="2"/>
      <c r="C49" s="25" t="s">
        <v>346</v>
      </c>
      <c r="D49" s="2"/>
      <c r="E49" s="2"/>
      <c r="F49" s="2"/>
      <c r="G49" s="258" t="s">
        <v>148</v>
      </c>
      <c r="H49" s="546"/>
      <c r="I49" s="546"/>
    </row>
    <row r="50" spans="1:9" x14ac:dyDescent="0.25">
      <c r="A50" s="2"/>
      <c r="B50" s="2"/>
      <c r="C50" s="25"/>
      <c r="D50" s="2"/>
      <c r="E50" s="2"/>
      <c r="F50" s="2"/>
      <c r="G50" s="283"/>
      <c r="H50" s="262"/>
      <c r="I50" s="262"/>
    </row>
    <row r="51" spans="1:9" x14ac:dyDescent="0.25">
      <c r="A51" s="2"/>
      <c r="B51" s="2"/>
      <c r="C51" s="282" t="s">
        <v>395</v>
      </c>
      <c r="D51" s="2"/>
      <c r="E51" s="2"/>
      <c r="F51" s="2"/>
      <c r="G51" s="2"/>
      <c r="H51" s="2"/>
      <c r="I51" s="2"/>
    </row>
    <row r="52" spans="1:9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2"/>
      <c r="B54" s="100" t="s">
        <v>199</v>
      </c>
      <c r="C54" s="101"/>
      <c r="D54" s="101"/>
      <c r="E54" s="2"/>
      <c r="F54" s="2"/>
      <c r="G54" s="2"/>
      <c r="H54" s="2"/>
      <c r="I54" s="2"/>
    </row>
    <row r="55" spans="1:9" x14ac:dyDescent="0.25">
      <c r="A55" s="2"/>
      <c r="B55" s="2"/>
      <c r="C55" s="537" t="s">
        <v>200</v>
      </c>
      <c r="D55" s="537"/>
      <c r="E55" s="537"/>
      <c r="F55" s="537"/>
      <c r="G55" s="537"/>
      <c r="H55" s="537"/>
      <c r="I55" s="2"/>
    </row>
    <row r="56" spans="1:9" x14ac:dyDescent="0.25">
      <c r="A56" s="2"/>
      <c r="B56" s="2"/>
      <c r="C56" s="507" t="s">
        <v>201</v>
      </c>
      <c r="D56" s="504" t="s">
        <v>202</v>
      </c>
      <c r="E56" s="504"/>
      <c r="F56" s="521" t="s">
        <v>203</v>
      </c>
      <c r="G56" s="521"/>
      <c r="H56" s="521"/>
      <c r="I56" s="2"/>
    </row>
    <row r="57" spans="1:9" x14ac:dyDescent="0.25">
      <c r="A57" s="2"/>
      <c r="B57" s="2"/>
      <c r="C57" s="507"/>
      <c r="D57" s="177" t="s">
        <v>204</v>
      </c>
      <c r="E57" s="177" t="s">
        <v>205</v>
      </c>
      <c r="F57" s="26" t="s">
        <v>288</v>
      </c>
      <c r="G57" s="26" t="s">
        <v>206</v>
      </c>
      <c r="H57" s="178" t="s">
        <v>207</v>
      </c>
      <c r="I57" s="2"/>
    </row>
    <row r="58" spans="1:9" x14ac:dyDescent="0.25">
      <c r="A58" s="2"/>
      <c r="B58" s="2"/>
      <c r="C58" s="12" t="str">
        <f>+E58</f>
        <v>6 mm</v>
      </c>
      <c r="D58" s="12" t="s">
        <v>209</v>
      </c>
      <c r="E58" s="12" t="s">
        <v>404</v>
      </c>
      <c r="F58" s="12">
        <v>0.28000000000000003</v>
      </c>
      <c r="G58" s="12">
        <v>1.88</v>
      </c>
      <c r="H58" s="170">
        <v>0.22</v>
      </c>
      <c r="I58" s="2"/>
    </row>
    <row r="59" spans="1:9" x14ac:dyDescent="0.25">
      <c r="A59" s="2"/>
      <c r="B59" s="2"/>
      <c r="C59" s="12" t="str">
        <f>+E59</f>
        <v>8 mm</v>
      </c>
      <c r="D59" s="12" t="s">
        <v>209</v>
      </c>
      <c r="E59" s="12" t="s">
        <v>405</v>
      </c>
      <c r="F59" s="12">
        <v>0.5</v>
      </c>
      <c r="G59" s="12">
        <v>2.5</v>
      </c>
      <c r="H59" s="170">
        <v>0.39500000000000002</v>
      </c>
      <c r="I59" s="2"/>
    </row>
    <row r="60" spans="1:9" ht="15" customHeight="1" x14ac:dyDescent="0.25">
      <c r="A60" s="2"/>
      <c r="B60" s="7"/>
      <c r="C60" s="12" t="str">
        <f>+D60</f>
        <v>3/8"</v>
      </c>
      <c r="D60" s="12" t="s">
        <v>208</v>
      </c>
      <c r="E60" s="12" t="s">
        <v>209</v>
      </c>
      <c r="F60" s="12">
        <v>0.71</v>
      </c>
      <c r="G60" s="12">
        <v>2.99</v>
      </c>
      <c r="H60" s="170">
        <v>0.55700000000000005</v>
      </c>
      <c r="I60" s="2"/>
    </row>
    <row r="61" spans="1:9" ht="15" customHeight="1" x14ac:dyDescent="0.25">
      <c r="A61" s="2"/>
      <c r="B61" s="7"/>
      <c r="C61" s="12" t="str">
        <f>+D61</f>
        <v>1/2"</v>
      </c>
      <c r="D61" s="12" t="s">
        <v>210</v>
      </c>
      <c r="E61" s="12" t="s">
        <v>209</v>
      </c>
      <c r="F61" s="12">
        <v>1.29</v>
      </c>
      <c r="G61" s="12">
        <v>3.99</v>
      </c>
      <c r="H61" s="170">
        <v>0.99399999999999999</v>
      </c>
      <c r="I61" s="2"/>
    </row>
    <row r="62" spans="1:9" x14ac:dyDescent="0.25">
      <c r="A62" s="2"/>
      <c r="B62" s="7"/>
      <c r="C62" s="12" t="str">
        <f>+D62</f>
        <v>5/8"</v>
      </c>
      <c r="D62" s="12" t="s">
        <v>211</v>
      </c>
      <c r="E62" s="12" t="s">
        <v>209</v>
      </c>
      <c r="F62" s="12">
        <v>1.99</v>
      </c>
      <c r="G62" s="12">
        <v>4.99</v>
      </c>
      <c r="H62" s="170">
        <v>1.552</v>
      </c>
      <c r="I62" s="2"/>
    </row>
    <row r="63" spans="1:9" x14ac:dyDescent="0.25">
      <c r="A63" s="2"/>
      <c r="B63" s="7"/>
      <c r="C63" s="12" t="str">
        <f>+D63</f>
        <v>3/4"</v>
      </c>
      <c r="D63" s="12" t="s">
        <v>212</v>
      </c>
      <c r="E63" s="12" t="s">
        <v>209</v>
      </c>
      <c r="F63" s="12">
        <v>2.84</v>
      </c>
      <c r="G63" s="12">
        <v>5.98</v>
      </c>
      <c r="H63" s="170">
        <v>2.2349999999999999</v>
      </c>
      <c r="I63" s="2"/>
    </row>
    <row r="64" spans="1:9" x14ac:dyDescent="0.25">
      <c r="A64" s="2"/>
      <c r="B64" s="7"/>
      <c r="C64" s="12" t="str">
        <f>+D64</f>
        <v>1"</v>
      </c>
      <c r="D64" s="12" t="s">
        <v>406</v>
      </c>
      <c r="E64" s="12" t="s">
        <v>209</v>
      </c>
      <c r="F64" s="12">
        <v>5.0999999999999996</v>
      </c>
      <c r="G64" s="12">
        <v>7.98</v>
      </c>
      <c r="H64" s="170">
        <v>3.9729999999999999</v>
      </c>
      <c r="I64" s="2"/>
    </row>
    <row r="65" spans="1:9" ht="15" customHeight="1" x14ac:dyDescent="0.25">
      <c r="A65" s="2"/>
      <c r="B65" s="7"/>
      <c r="C65" s="179"/>
      <c r="D65" s="179"/>
      <c r="E65" s="179"/>
      <c r="F65" s="179"/>
      <c r="G65" s="179"/>
      <c r="H65" s="180"/>
      <c r="I65" s="2"/>
    </row>
    <row r="66" spans="1:9" ht="15" customHeight="1" x14ac:dyDescent="0.25">
      <c r="A66" s="2"/>
      <c r="B66" s="18"/>
      <c r="C66" s="179"/>
      <c r="D66" s="179"/>
      <c r="E66" s="179"/>
      <c r="F66" s="179"/>
      <c r="G66" s="179"/>
      <c r="H66" s="180"/>
      <c r="I66" s="2"/>
    </row>
    <row r="67" spans="1:9" ht="15" customHeight="1" x14ac:dyDescent="0.25">
      <c r="A67" s="2"/>
      <c r="B67" s="18"/>
      <c r="C67" s="179"/>
      <c r="D67" s="179"/>
      <c r="E67" s="179"/>
      <c r="F67" s="541" t="s">
        <v>213</v>
      </c>
      <c r="G67" s="542"/>
      <c r="H67" s="542"/>
      <c r="I67" s="2"/>
    </row>
    <row r="68" spans="1:9" ht="15" customHeight="1" x14ac:dyDescent="0.25">
      <c r="A68" s="2"/>
      <c r="B68" s="545" t="s">
        <v>695</v>
      </c>
      <c r="C68" s="179"/>
      <c r="D68" s="179"/>
      <c r="E68" s="179"/>
      <c r="F68" s="542"/>
      <c r="G68" s="542"/>
      <c r="H68" s="542"/>
      <c r="I68" s="2"/>
    </row>
    <row r="69" spans="1:9" ht="15" customHeight="1" x14ac:dyDescent="0.25">
      <c r="A69" s="2"/>
      <c r="B69" s="545"/>
      <c r="C69" s="6" t="s">
        <v>214</v>
      </c>
      <c r="D69" s="2"/>
      <c r="E69" s="2"/>
      <c r="F69" s="2"/>
      <c r="G69" s="2"/>
      <c r="H69" s="2"/>
      <c r="I69" s="2"/>
    </row>
    <row r="70" spans="1:9" ht="15" customHeight="1" x14ac:dyDescent="0.25">
      <c r="A70" s="2"/>
      <c r="B70" s="545"/>
      <c r="C70" s="181" t="s">
        <v>147</v>
      </c>
      <c r="D70" s="543" t="s">
        <v>289</v>
      </c>
      <c r="E70" s="544"/>
      <c r="F70" s="182" t="s">
        <v>147</v>
      </c>
      <c r="G70" s="183"/>
      <c r="H70" s="184"/>
      <c r="I70" s="2"/>
    </row>
    <row r="71" spans="1:9" x14ac:dyDescent="0.25">
      <c r="A71" s="2"/>
      <c r="B71" s="545"/>
      <c r="C71" s="181" t="s">
        <v>148</v>
      </c>
      <c r="D71" s="543" t="s">
        <v>290</v>
      </c>
      <c r="E71" s="544"/>
      <c r="F71" s="182" t="s">
        <v>147</v>
      </c>
      <c r="G71" s="183"/>
      <c r="H71" s="184"/>
      <c r="I71" s="2"/>
    </row>
    <row r="72" spans="1:9" x14ac:dyDescent="0.25">
      <c r="A72" s="2"/>
      <c r="B72" s="545"/>
      <c r="C72" s="25"/>
      <c r="D72" s="543" t="s">
        <v>291</v>
      </c>
      <c r="E72" s="544"/>
      <c r="F72" s="182" t="s">
        <v>147</v>
      </c>
      <c r="G72" s="183"/>
      <c r="H72" s="184"/>
      <c r="I72" s="2"/>
    </row>
    <row r="73" spans="1:9" x14ac:dyDescent="0.25">
      <c r="A73" s="2"/>
      <c r="B73" s="545"/>
      <c r="C73" s="2"/>
      <c r="D73" s="543" t="s">
        <v>292</v>
      </c>
      <c r="E73" s="544"/>
      <c r="F73" s="182" t="s">
        <v>148</v>
      </c>
      <c r="G73" s="183"/>
      <c r="H73" s="184"/>
      <c r="I73" s="2"/>
    </row>
    <row r="74" spans="1:9" x14ac:dyDescent="0.25">
      <c r="A74" s="2"/>
      <c r="B74" s="2"/>
      <c r="C74" s="2"/>
      <c r="D74" s="543" t="s">
        <v>407</v>
      </c>
      <c r="E74" s="544"/>
      <c r="F74" s="182" t="s">
        <v>148</v>
      </c>
      <c r="G74" s="183"/>
      <c r="H74" s="184"/>
      <c r="I74" s="2"/>
    </row>
    <row r="75" spans="1:9" x14ac:dyDescent="0.25">
      <c r="A75" s="2"/>
      <c r="B75" s="2"/>
      <c r="C75" s="2"/>
      <c r="D75" s="185"/>
      <c r="E75" s="185"/>
      <c r="F75" s="186"/>
      <c r="G75" s="187"/>
      <c r="H75" s="187"/>
      <c r="I75" s="2"/>
    </row>
    <row r="76" spans="1:9" x14ac:dyDescent="0.25">
      <c r="A76" s="2"/>
      <c r="B76" s="2"/>
      <c r="C76" s="2"/>
      <c r="D76" s="179"/>
      <c r="E76" s="6"/>
      <c r="F76" s="2"/>
      <c r="G76" s="184"/>
      <c r="H76" s="184"/>
      <c r="I76" s="2"/>
    </row>
    <row r="77" spans="1:9" x14ac:dyDescent="0.25">
      <c r="A77" s="2"/>
      <c r="B77" s="2"/>
      <c r="C77" s="2"/>
      <c r="D77" s="179"/>
      <c r="E77" s="6"/>
      <c r="F77" s="541" t="s">
        <v>408</v>
      </c>
      <c r="G77" s="542"/>
      <c r="H77" s="542"/>
      <c r="I77" s="2"/>
    </row>
    <row r="78" spans="1:9" x14ac:dyDescent="0.25">
      <c r="A78" s="2"/>
      <c r="B78" s="2"/>
      <c r="C78" s="2"/>
      <c r="D78" s="179"/>
      <c r="E78" s="6"/>
      <c r="F78" s="68"/>
      <c r="G78" s="68"/>
      <c r="H78" s="68"/>
      <c r="I78" s="2"/>
    </row>
    <row r="79" spans="1:9" x14ac:dyDescent="0.25">
      <c r="A79" s="2"/>
      <c r="B79" s="2"/>
      <c r="C79" s="6" t="s">
        <v>409</v>
      </c>
      <c r="D79" s="179"/>
      <c r="E79" s="6"/>
      <c r="F79" s="2"/>
      <c r="G79" s="184"/>
      <c r="H79" s="184"/>
      <c r="I79" s="2"/>
    </row>
    <row r="80" spans="1:9" ht="15" customHeight="1" x14ac:dyDescent="0.25">
      <c r="A80" s="2"/>
      <c r="B80" s="7"/>
      <c r="C80" s="181" t="s">
        <v>147</v>
      </c>
      <c r="D80" s="543" t="s">
        <v>410</v>
      </c>
      <c r="E80" s="544"/>
      <c r="F80" s="182" t="s">
        <v>148</v>
      </c>
      <c r="G80" s="184"/>
      <c r="H80" s="184"/>
      <c r="I80" s="2"/>
    </row>
    <row r="81" spans="1:9" x14ac:dyDescent="0.25">
      <c r="A81" s="2"/>
      <c r="B81" s="2"/>
      <c r="C81" s="181" t="s">
        <v>148</v>
      </c>
      <c r="D81" s="543" t="s">
        <v>411</v>
      </c>
      <c r="E81" s="544"/>
      <c r="F81" s="182" t="s">
        <v>147</v>
      </c>
      <c r="G81" s="184"/>
      <c r="H81" s="184"/>
      <c r="I81" s="2"/>
    </row>
    <row r="82" spans="1:9" x14ac:dyDescent="0.25">
      <c r="A82" s="2"/>
      <c r="B82" s="2"/>
      <c r="C82" s="25"/>
      <c r="D82" s="543" t="s">
        <v>412</v>
      </c>
      <c r="E82" s="544"/>
      <c r="F82" s="182" t="s">
        <v>147</v>
      </c>
      <c r="G82" s="184"/>
      <c r="H82" s="184"/>
      <c r="I82" s="2"/>
    </row>
    <row r="83" spans="1:9" x14ac:dyDescent="0.25">
      <c r="A83" s="2"/>
      <c r="B83" s="2"/>
      <c r="C83" s="2"/>
      <c r="D83" s="179"/>
      <c r="E83" s="6"/>
      <c r="F83" s="2"/>
      <c r="G83" s="184"/>
      <c r="H83" s="184"/>
      <c r="I83" s="2"/>
    </row>
    <row r="84" spans="1:9" x14ac:dyDescent="0.25">
      <c r="A84" s="2"/>
      <c r="B84" s="2"/>
      <c r="C84" s="2"/>
      <c r="D84" s="179"/>
      <c r="E84" s="6"/>
      <c r="F84" s="2"/>
      <c r="G84" s="184"/>
      <c r="H84" s="184"/>
      <c r="I84" s="2"/>
    </row>
    <row r="85" spans="1:9" ht="15.75" customHeight="1" x14ac:dyDescent="0.25">
      <c r="A85" s="2"/>
      <c r="B85" s="2"/>
      <c r="C85" s="6" t="s">
        <v>215</v>
      </c>
      <c r="D85" s="2"/>
      <c r="E85" s="2"/>
      <c r="F85" s="17">
        <v>0.05</v>
      </c>
      <c r="G85" s="2" t="s">
        <v>216</v>
      </c>
      <c r="H85" s="533" t="s">
        <v>217</v>
      </c>
      <c r="I85" s="2"/>
    </row>
    <row r="86" spans="1:9" ht="15.75" customHeight="1" x14ac:dyDescent="0.25">
      <c r="A86" s="2"/>
      <c r="B86" s="2"/>
      <c r="C86" s="6"/>
      <c r="D86" s="2"/>
      <c r="E86" s="2"/>
      <c r="F86" s="19"/>
      <c r="G86" s="2"/>
      <c r="H86" s="533"/>
      <c r="I86" s="21"/>
    </row>
    <row r="87" spans="1:9" ht="15" customHeight="1" x14ac:dyDescent="0.25">
      <c r="A87" s="2"/>
      <c r="B87" s="2"/>
      <c r="C87" s="2"/>
      <c r="D87" s="2"/>
      <c r="E87" s="2"/>
      <c r="F87" s="2"/>
      <c r="G87" s="2"/>
      <c r="H87" s="533"/>
      <c r="I87" s="21"/>
    </row>
    <row r="88" spans="1:9" ht="15" customHeight="1" x14ac:dyDescent="0.25">
      <c r="A88" s="2"/>
      <c r="B88" s="2"/>
      <c r="C88" s="2"/>
      <c r="D88" s="2"/>
      <c r="E88" s="2"/>
      <c r="F88" s="2"/>
      <c r="G88" s="2"/>
      <c r="H88" s="159"/>
      <c r="I88" s="21"/>
    </row>
    <row r="89" spans="1:9" x14ac:dyDescent="0.25">
      <c r="A89" s="2"/>
      <c r="B89" s="100" t="s">
        <v>696</v>
      </c>
      <c r="C89" s="101"/>
      <c r="D89" s="101"/>
      <c r="E89" s="2"/>
      <c r="F89" s="2"/>
      <c r="G89" s="2"/>
      <c r="H89" s="2"/>
      <c r="I89" s="2"/>
    </row>
    <row r="90" spans="1:9" ht="15" customHeight="1" x14ac:dyDescent="0.25">
      <c r="A90" s="2"/>
      <c r="B90" s="2"/>
      <c r="C90" s="2"/>
      <c r="D90" s="188"/>
      <c r="E90" s="188"/>
      <c r="F90" s="188"/>
      <c r="G90" s="2"/>
      <c r="H90" s="2"/>
      <c r="I90" s="2"/>
    </row>
    <row r="91" spans="1:9" ht="15" customHeight="1" x14ac:dyDescent="0.25">
      <c r="A91" s="2"/>
      <c r="B91" s="2"/>
      <c r="C91" s="6" t="s">
        <v>219</v>
      </c>
      <c r="D91" s="2"/>
      <c r="E91" s="102">
        <v>4.42</v>
      </c>
      <c r="F91" s="2" t="s">
        <v>293</v>
      </c>
      <c r="G91" s="2"/>
      <c r="H91" s="533" t="s">
        <v>220</v>
      </c>
      <c r="I91" s="2"/>
    </row>
    <row r="92" spans="1:9" ht="15" customHeight="1" x14ac:dyDescent="0.25">
      <c r="A92" s="2"/>
      <c r="B92" s="2"/>
      <c r="C92" s="6" t="s">
        <v>221</v>
      </c>
      <c r="D92" s="2"/>
      <c r="E92" s="102">
        <v>0.17</v>
      </c>
      <c r="F92" s="2" t="s">
        <v>294</v>
      </c>
      <c r="G92" s="2"/>
      <c r="H92" s="533"/>
      <c r="I92" s="2"/>
    </row>
    <row r="93" spans="1:9" ht="18" customHeight="1" x14ac:dyDescent="0.25">
      <c r="A93" s="2"/>
      <c r="B93" s="2"/>
      <c r="C93" s="6" t="s">
        <v>414</v>
      </c>
      <c r="D93" s="2"/>
      <c r="E93" s="102">
        <v>0.3</v>
      </c>
      <c r="F93" s="2" t="s">
        <v>294</v>
      </c>
      <c r="G93" s="2"/>
      <c r="H93" s="533"/>
      <c r="I93" s="2"/>
    </row>
    <row r="94" spans="1:9" ht="15" customHeight="1" x14ac:dyDescent="0.25">
      <c r="A94" s="2"/>
      <c r="B94" s="2"/>
      <c r="C94" s="6"/>
      <c r="D94" s="2"/>
      <c r="E94" s="189"/>
      <c r="F94" s="2"/>
      <c r="G94" s="2"/>
      <c r="H94" s="2"/>
      <c r="I94" s="2"/>
    </row>
    <row r="95" spans="1:9" ht="15" customHeight="1" x14ac:dyDescent="0.25">
      <c r="A95" s="2"/>
      <c r="B95" s="2"/>
      <c r="C95" s="6"/>
      <c r="D95" s="2"/>
      <c r="E95" s="189"/>
      <c r="F95" s="2"/>
      <c r="G95" s="2"/>
      <c r="H95" s="2"/>
      <c r="I95" s="2"/>
    </row>
    <row r="96" spans="1:9" ht="15" customHeight="1" x14ac:dyDescent="0.25">
      <c r="A96" s="399" t="s">
        <v>222</v>
      </c>
      <c r="B96" s="401"/>
      <c r="C96" s="401"/>
      <c r="D96" s="2"/>
      <c r="E96" s="32"/>
      <c r="F96" s="2"/>
      <c r="G96" s="2"/>
      <c r="H96" s="2"/>
      <c r="I96" s="2"/>
    </row>
    <row r="97" spans="1:9" x14ac:dyDescent="0.25">
      <c r="A97" s="23"/>
      <c r="B97" s="24" t="s">
        <v>6</v>
      </c>
      <c r="C97" s="161">
        <v>8</v>
      </c>
      <c r="D97" s="25" t="s">
        <v>7</v>
      </c>
      <c r="E97" s="2"/>
      <c r="F97" s="2"/>
      <c r="G97" s="2"/>
      <c r="H97" s="2"/>
      <c r="I97" s="2"/>
    </row>
    <row r="98" spans="1:9" ht="15.75" customHeight="1" x14ac:dyDescent="0.25">
      <c r="A98" s="2"/>
      <c r="B98" s="547" t="s">
        <v>8</v>
      </c>
      <c r="C98" s="547"/>
      <c r="D98" s="547"/>
      <c r="E98" s="547"/>
      <c r="F98" s="547"/>
      <c r="G98" s="547"/>
      <c r="H98" s="2"/>
      <c r="I98" s="2"/>
    </row>
    <row r="99" spans="1:9" ht="17.25" customHeight="1" x14ac:dyDescent="0.25">
      <c r="A99" s="538" t="s">
        <v>9</v>
      </c>
      <c r="B99" s="458" t="s">
        <v>223</v>
      </c>
      <c r="C99" s="459"/>
      <c r="D99" s="448" t="s">
        <v>10</v>
      </c>
      <c r="E99" s="449"/>
      <c r="F99" s="449"/>
      <c r="G99" s="449"/>
      <c r="H99" s="457"/>
      <c r="I99" s="2"/>
    </row>
    <row r="100" spans="1:9" ht="28.5" customHeight="1" x14ac:dyDescent="0.25">
      <c r="A100" s="538"/>
      <c r="B100" s="539"/>
      <c r="C100" s="540"/>
      <c r="D100" s="191" t="s">
        <v>11</v>
      </c>
      <c r="E100" s="191" t="s">
        <v>12</v>
      </c>
      <c r="F100" s="191" t="s">
        <v>13</v>
      </c>
      <c r="G100" s="191" t="s">
        <v>14</v>
      </c>
      <c r="H100" s="160" t="s">
        <v>224</v>
      </c>
      <c r="I100" s="2"/>
    </row>
    <row r="101" spans="1:9" x14ac:dyDescent="0.25">
      <c r="A101" s="549" t="s">
        <v>697</v>
      </c>
      <c r="B101" s="551">
        <v>9</v>
      </c>
      <c r="C101" s="557" t="s">
        <v>295</v>
      </c>
      <c r="D101" s="555">
        <v>0.2</v>
      </c>
      <c r="E101" s="531">
        <v>2</v>
      </c>
      <c r="F101" s="531">
        <v>2</v>
      </c>
      <c r="G101" s="531">
        <v>8</v>
      </c>
      <c r="H101" s="531">
        <v>1</v>
      </c>
      <c r="I101" s="2"/>
    </row>
    <row r="102" spans="1:9" ht="23.25" customHeight="1" x14ac:dyDescent="0.25">
      <c r="A102" s="550"/>
      <c r="B102" s="558"/>
      <c r="C102" s="559"/>
      <c r="D102" s="556"/>
      <c r="E102" s="532"/>
      <c r="F102" s="532"/>
      <c r="G102" s="532"/>
      <c r="H102" s="532"/>
      <c r="I102" s="2"/>
    </row>
    <row r="103" spans="1:9" x14ac:dyDescent="0.25">
      <c r="A103" s="549" t="s">
        <v>226</v>
      </c>
      <c r="B103" s="551">
        <v>14</v>
      </c>
      <c r="C103" s="557" t="s">
        <v>296</v>
      </c>
      <c r="D103" s="555">
        <v>0.1</v>
      </c>
      <c r="E103" s="531">
        <v>1</v>
      </c>
      <c r="F103" s="531">
        <v>1</v>
      </c>
      <c r="G103" s="531">
        <v>2</v>
      </c>
      <c r="H103" s="531">
        <v>0</v>
      </c>
      <c r="I103" s="2"/>
    </row>
    <row r="104" spans="1:9" ht="23.25" customHeight="1" x14ac:dyDescent="0.25">
      <c r="A104" s="550"/>
      <c r="B104" s="552"/>
      <c r="C104" s="554"/>
      <c r="D104" s="556"/>
      <c r="E104" s="532"/>
      <c r="F104" s="532"/>
      <c r="G104" s="532"/>
      <c r="H104" s="532"/>
      <c r="I104" s="2"/>
    </row>
    <row r="105" spans="1:9" x14ac:dyDescent="0.25">
      <c r="A105" s="549" t="s">
        <v>227</v>
      </c>
      <c r="B105" s="551">
        <v>250</v>
      </c>
      <c r="C105" s="553" t="s">
        <v>228</v>
      </c>
      <c r="D105" s="555">
        <v>0.1</v>
      </c>
      <c r="E105" s="531">
        <v>1</v>
      </c>
      <c r="F105" s="531">
        <v>1</v>
      </c>
      <c r="G105" s="531">
        <v>1</v>
      </c>
      <c r="H105" s="531">
        <v>0</v>
      </c>
      <c r="I105" s="2"/>
    </row>
    <row r="106" spans="1:9" ht="20.25" customHeight="1" x14ac:dyDescent="0.25">
      <c r="A106" s="550"/>
      <c r="B106" s="552"/>
      <c r="C106" s="554"/>
      <c r="D106" s="556"/>
      <c r="E106" s="532"/>
      <c r="F106" s="532"/>
      <c r="G106" s="532"/>
      <c r="H106" s="532"/>
      <c r="I106" s="2"/>
    </row>
    <row r="107" spans="1:9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5">
      <c r="A109" s="399" t="s">
        <v>229</v>
      </c>
      <c r="B109" s="401"/>
      <c r="C109" s="401"/>
      <c r="D109" s="401"/>
      <c r="E109" s="2"/>
      <c r="F109" s="2"/>
      <c r="G109" s="2"/>
      <c r="H109" s="2"/>
      <c r="I109" s="2"/>
    </row>
    <row r="110" spans="1:9" x14ac:dyDescent="0.25">
      <c r="A110" s="22"/>
      <c r="B110" s="2"/>
      <c r="C110" s="2"/>
      <c r="D110" s="2"/>
      <c r="E110" s="2"/>
      <c r="F110" s="2"/>
      <c r="G110" s="2"/>
      <c r="H110" s="2"/>
      <c r="I110" s="2"/>
    </row>
    <row r="111" spans="1:9" x14ac:dyDescent="0.25">
      <c r="A111" s="2"/>
      <c r="B111" s="100" t="s">
        <v>230</v>
      </c>
      <c r="C111" s="101"/>
      <c r="D111" s="101"/>
      <c r="E111" s="2"/>
      <c r="F111" s="2"/>
      <c r="G111" s="2"/>
      <c r="H111" s="2"/>
      <c r="I111" s="2"/>
    </row>
    <row r="112" spans="1:9" x14ac:dyDescent="0.25">
      <c r="A112" s="2"/>
      <c r="B112" s="2"/>
      <c r="C112" s="2"/>
      <c r="D112" s="2"/>
      <c r="E112" s="2"/>
      <c r="F112" s="68"/>
      <c r="G112" s="68"/>
      <c r="H112" s="533" t="s">
        <v>231</v>
      </c>
      <c r="I112" s="2"/>
    </row>
    <row r="113" spans="1:9" ht="15" customHeight="1" x14ac:dyDescent="0.25">
      <c r="A113" s="2"/>
      <c r="B113" s="181">
        <v>0</v>
      </c>
      <c r="C113" s="6" t="s">
        <v>232</v>
      </c>
      <c r="D113" s="2"/>
      <c r="E113" s="2"/>
      <c r="F113" s="17">
        <v>1</v>
      </c>
      <c r="G113" s="2" t="s">
        <v>233</v>
      </c>
      <c r="H113" s="533"/>
      <c r="I113" s="2"/>
    </row>
    <row r="114" spans="1:9" x14ac:dyDescent="0.25">
      <c r="A114" s="2"/>
      <c r="B114" s="181">
        <v>1</v>
      </c>
      <c r="C114" s="6" t="s">
        <v>297</v>
      </c>
      <c r="D114" s="2"/>
      <c r="E114" s="2"/>
      <c r="F114" s="17">
        <v>1</v>
      </c>
      <c r="G114" s="2" t="s">
        <v>18</v>
      </c>
      <c r="H114" s="533"/>
      <c r="I114" s="2"/>
    </row>
    <row r="115" spans="1:9" x14ac:dyDescent="0.25">
      <c r="A115" s="2"/>
      <c r="B115" s="181">
        <v>2</v>
      </c>
      <c r="C115" s="6"/>
      <c r="D115" s="2"/>
      <c r="E115" s="2"/>
      <c r="F115" s="68"/>
      <c r="G115" s="192"/>
      <c r="H115" s="533"/>
      <c r="I115" s="2"/>
    </row>
    <row r="116" spans="1:9" x14ac:dyDescent="0.25">
      <c r="A116" s="2"/>
      <c r="B116" s="100" t="s">
        <v>234</v>
      </c>
      <c r="C116" s="101"/>
      <c r="D116" s="101"/>
      <c r="E116" s="2"/>
      <c r="F116" s="2"/>
      <c r="G116" s="2"/>
      <c r="H116" s="2"/>
      <c r="I116" s="2"/>
    </row>
    <row r="117" spans="1:9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5">
      <c r="A118" s="2"/>
      <c r="B118" s="2"/>
      <c r="C118" s="6" t="s">
        <v>19</v>
      </c>
      <c r="D118" s="2"/>
      <c r="E118" s="20">
        <v>0.03</v>
      </c>
      <c r="F118" s="2" t="s">
        <v>20</v>
      </c>
      <c r="G118" s="529" t="s">
        <v>21</v>
      </c>
      <c r="H118" s="529"/>
      <c r="I118" s="2"/>
    </row>
    <row r="119" spans="1:9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5">
      <c r="A121" s="399" t="s">
        <v>235</v>
      </c>
      <c r="B121" s="401"/>
      <c r="C121" s="401"/>
      <c r="D121" s="27"/>
      <c r="E121" s="27"/>
      <c r="F121" s="27"/>
      <c r="G121" s="27"/>
      <c r="H121" s="2"/>
      <c r="I121" s="2"/>
    </row>
    <row r="122" spans="1:9" x14ac:dyDescent="0.25">
      <c r="A122" s="22"/>
      <c r="B122" s="2"/>
      <c r="C122" s="2"/>
      <c r="D122" s="790" t="s">
        <v>698</v>
      </c>
      <c r="E122" s="790"/>
      <c r="F122" s="790"/>
      <c r="G122" s="790"/>
      <c r="H122" s="2"/>
      <c r="I122" s="2"/>
    </row>
    <row r="123" spans="1:9" x14ac:dyDescent="0.25">
      <c r="A123" s="28" t="s">
        <v>415</v>
      </c>
      <c r="B123" s="497" t="s">
        <v>23</v>
      </c>
      <c r="C123" s="497"/>
      <c r="D123" s="26" t="s">
        <v>123</v>
      </c>
      <c r="E123" s="575" t="s">
        <v>116</v>
      </c>
      <c r="F123" s="576"/>
      <c r="G123" s="577" t="s">
        <v>117</v>
      </c>
      <c r="H123" s="578"/>
    </row>
    <row r="124" spans="1:9" x14ac:dyDescent="0.25">
      <c r="A124" s="28" t="s">
        <v>416</v>
      </c>
      <c r="B124" s="446" t="s">
        <v>39</v>
      </c>
      <c r="C124" s="446"/>
      <c r="D124" s="302" t="s">
        <v>417</v>
      </c>
      <c r="E124" s="194" t="s">
        <v>24</v>
      </c>
      <c r="F124" s="195">
        <v>22</v>
      </c>
      <c r="G124" s="194" t="s">
        <v>24</v>
      </c>
      <c r="H124" s="330">
        <f>F124/1.18</f>
        <v>18.64406779661017</v>
      </c>
    </row>
    <row r="125" spans="1:9" ht="15.75" x14ac:dyDescent="0.25">
      <c r="A125" s="2"/>
      <c r="B125" s="446" t="s">
        <v>236</v>
      </c>
      <c r="C125" s="446"/>
      <c r="D125" s="193" t="s">
        <v>88</v>
      </c>
      <c r="E125" s="194" t="s">
        <v>24</v>
      </c>
      <c r="F125" s="195">
        <v>60</v>
      </c>
      <c r="G125" s="194" t="s">
        <v>24</v>
      </c>
      <c r="H125" s="330">
        <f t="shared" ref="H125:H140" si="0">F125/1.18</f>
        <v>50.847457627118644</v>
      </c>
    </row>
    <row r="126" spans="1:9" ht="15.75" x14ac:dyDescent="0.25">
      <c r="A126" s="2"/>
      <c r="B126" s="446" t="s">
        <v>237</v>
      </c>
      <c r="C126" s="446"/>
      <c r="D126" s="193" t="s">
        <v>88</v>
      </c>
      <c r="E126" s="194" t="s">
        <v>24</v>
      </c>
      <c r="F126" s="195">
        <v>65</v>
      </c>
      <c r="G126" s="194" t="s">
        <v>24</v>
      </c>
      <c r="H126" s="330">
        <f t="shared" si="0"/>
        <v>55.084745762711869</v>
      </c>
    </row>
    <row r="127" spans="1:9" ht="15.75" x14ac:dyDescent="0.25">
      <c r="A127" s="2"/>
      <c r="B127" s="446" t="s">
        <v>89</v>
      </c>
      <c r="C127" s="446"/>
      <c r="D127" s="193" t="s">
        <v>88</v>
      </c>
      <c r="E127" s="194" t="s">
        <v>24</v>
      </c>
      <c r="F127" s="195">
        <v>5</v>
      </c>
      <c r="G127" s="194" t="s">
        <v>24</v>
      </c>
      <c r="H127" s="330">
        <f t="shared" si="0"/>
        <v>4.2372881355932206</v>
      </c>
    </row>
    <row r="128" spans="1:9" x14ac:dyDescent="0.25">
      <c r="A128" s="2"/>
      <c r="B128" s="446" t="str">
        <f>IF(G48="NO","Gasolina de 84 octanos",IF(AND(G48="SI"),"-"))</f>
        <v>Gasolina de 84 octanos</v>
      </c>
      <c r="C128" s="446"/>
      <c r="D128" s="193" t="str">
        <f>IF(G48="NO","galón",IF(AND(G48="SI"),"-"))</f>
        <v>galón</v>
      </c>
      <c r="E128" s="194" t="str">
        <f>IF(G48="NO","S/.",IF(AND(G48="SI"),"No considerar"))</f>
        <v>S/.</v>
      </c>
      <c r="F128" s="195">
        <v>9.59</v>
      </c>
      <c r="G128" s="194" t="str">
        <f>E128</f>
        <v>S/.</v>
      </c>
      <c r="H128" s="106">
        <f t="shared" si="0"/>
        <v>8.1271186440677976</v>
      </c>
      <c r="I128" s="2"/>
    </row>
    <row r="129" spans="1:9" x14ac:dyDescent="0.25">
      <c r="A129" s="2"/>
      <c r="B129" s="453" t="str">
        <f>IF(G49="NO","Grasa multipropósitos",IF(AND(G49="SI"),"-"))</f>
        <v>Grasa multipropósitos</v>
      </c>
      <c r="C129" s="453"/>
      <c r="D129" s="193" t="str">
        <f>IF(G49="NO","kg",IF(AND(G49="SI"),"-"))</f>
        <v>kg</v>
      </c>
      <c r="E129" s="194" t="str">
        <f>IF(G49="NO","S/.",IF(AND(G49="SI"),"No considerar"))</f>
        <v>S/.</v>
      </c>
      <c r="F129" s="195">
        <v>20</v>
      </c>
      <c r="G129" s="194" t="str">
        <f>E129</f>
        <v>S/.</v>
      </c>
      <c r="H129" s="106">
        <f t="shared" si="0"/>
        <v>16.949152542372882</v>
      </c>
      <c r="I129" s="2"/>
    </row>
    <row r="130" spans="1:9" x14ac:dyDescent="0.25">
      <c r="A130" s="2"/>
      <c r="B130" s="196" t="str">
        <f>IF(F80="si","Acero de",IF(AND(F80="no"),"-"))</f>
        <v>-</v>
      </c>
      <c r="C130" s="197" t="str">
        <f>IF(F80="si","6 mm",IF(AND(F80="no"),"-"))</f>
        <v>-</v>
      </c>
      <c r="D130" s="198" t="str">
        <f>IF(F80="si","varilla",IF(AND(F80="no"),"-"))</f>
        <v>-</v>
      </c>
      <c r="E130" s="199" t="str">
        <f>IF(F80="si","S/.",IF(AND(F80="no"),"No considerar"))</f>
        <v>No considerar</v>
      </c>
      <c r="F130" s="195">
        <v>10.29</v>
      </c>
      <c r="G130" s="194" t="str">
        <f t="shared" ref="G130:G136" si="1">E130</f>
        <v>No considerar</v>
      </c>
      <c r="H130" s="330">
        <f t="shared" si="0"/>
        <v>8.7203389830508478</v>
      </c>
    </row>
    <row r="131" spans="1:9" x14ac:dyDescent="0.25">
      <c r="A131" s="2"/>
      <c r="B131" s="196" t="str">
        <f>IF(F81="si","Acero de",IF(AND(F81="no"),"-"))</f>
        <v>Acero de</v>
      </c>
      <c r="C131" s="197" t="str">
        <f>IF(F81="si","8 mm",IF(AND(F81="no"),"-"))</f>
        <v>8 mm</v>
      </c>
      <c r="D131" s="198" t="str">
        <f>IF(F81="si","varilla",IF(AND(F81="no"),"-"))</f>
        <v>varilla</v>
      </c>
      <c r="E131" s="199" t="str">
        <f>IF(F81="si","S/.",IF(AND(F81="no"),"No considerar"))</f>
        <v>S/.</v>
      </c>
      <c r="F131" s="195">
        <v>18.170000000000002</v>
      </c>
      <c r="G131" s="194" t="str">
        <f t="shared" si="1"/>
        <v>S/.</v>
      </c>
      <c r="H131" s="330">
        <f t="shared" si="0"/>
        <v>15.398305084745765</v>
      </c>
    </row>
    <row r="132" spans="1:9" x14ac:dyDescent="0.25">
      <c r="A132" s="2"/>
      <c r="B132" s="196" t="str">
        <f>IF(F70="si","Acero de",IF(AND(F82="si"),"Acero de",IF(AND(F70="no"),"-",IF(AND(F82="no"),"-"))))</f>
        <v>Acero de</v>
      </c>
      <c r="C132" s="197" t="str">
        <f>IF(F70="si","3/8""",IF(AND(F82="si"),"3/8""",IF(AND(F70="no"),"-",IF(AND(F82="no"),"-"))))</f>
        <v>3/8"</v>
      </c>
      <c r="D132" s="198" t="str">
        <f>IF(F70="si","varilla",IF(AND(F82="si"),"varilla",IF(AND(F70="no"),"-",IF(AND(F82="no"),"-"))))</f>
        <v>varilla</v>
      </c>
      <c r="E132" s="199" t="str">
        <f>IF(F70="si","S/.",IF(AND(F82="si"),"S/.",IF(AND(F70="no"),"No considerar",IF(AND(F82="no"),"No considerar"))))</f>
        <v>S/.</v>
      </c>
      <c r="F132" s="195">
        <v>25.23</v>
      </c>
      <c r="G132" s="194" t="str">
        <f t="shared" si="1"/>
        <v>S/.</v>
      </c>
      <c r="H132" s="330">
        <f t="shared" si="0"/>
        <v>21.381355932203391</v>
      </c>
    </row>
    <row r="133" spans="1:9" x14ac:dyDescent="0.25">
      <c r="A133" s="2"/>
      <c r="B133" s="196" t="str">
        <f>IF(F71="si","Acero de",IF(AND(F71="no"),"-"))</f>
        <v>Acero de</v>
      </c>
      <c r="C133" s="197" t="str">
        <f>IF(F71="si","1/2""",IF(AND(F71="no"),"-"))</f>
        <v>1/2"</v>
      </c>
      <c r="D133" s="198" t="str">
        <f>IF(F71="si","varilla",IF(AND(F71="no"),"-"))</f>
        <v>varilla</v>
      </c>
      <c r="E133" s="199" t="str">
        <f>IF(F71="si","S/.",IF(AND(F71="no"),"No considerar"))</f>
        <v>S/.</v>
      </c>
      <c r="F133" s="195">
        <v>45.2</v>
      </c>
      <c r="G133" s="194" t="str">
        <f t="shared" si="1"/>
        <v>S/.</v>
      </c>
      <c r="H133" s="330">
        <f t="shared" si="0"/>
        <v>38.305084745762713</v>
      </c>
    </row>
    <row r="134" spans="1:9" x14ac:dyDescent="0.25">
      <c r="A134" s="2"/>
      <c r="B134" s="196" t="str">
        <f>IF(F72="si","Acero de",IF(AND(F72="no"),"-"))</f>
        <v>Acero de</v>
      </c>
      <c r="C134" s="197" t="str">
        <f>IF(F72="si","5/8""",IF(AND(F72="no"),"-"))</f>
        <v>5/8"</v>
      </c>
      <c r="D134" s="198" t="str">
        <f>IF(F72="si","varilla",IF(AND(F72="no"),"-"))</f>
        <v>varilla</v>
      </c>
      <c r="E134" s="199" t="str">
        <f>IF(F72="si","S/.",IF(AND(F72="no"),"No considerar"))</f>
        <v>S/.</v>
      </c>
      <c r="F134" s="195">
        <v>69.900000000000006</v>
      </c>
      <c r="G134" s="194" t="str">
        <f t="shared" si="1"/>
        <v>S/.</v>
      </c>
      <c r="H134" s="330">
        <f t="shared" si="0"/>
        <v>59.237288135593225</v>
      </c>
    </row>
    <row r="135" spans="1:9" x14ac:dyDescent="0.25">
      <c r="A135" s="2"/>
      <c r="B135" s="196" t="str">
        <f>IF(F73="si","Acero de",IF(AND(F73="no"),"-"))</f>
        <v>-</v>
      </c>
      <c r="C135" s="197" t="str">
        <f>IF(F73="si","3/4""",IF(AND(F73="no"),"-"))</f>
        <v>-</v>
      </c>
      <c r="D135" s="198" t="str">
        <f>IF(F73="si","varilla",IF(AND(F73="no"),"-"))</f>
        <v>-</v>
      </c>
      <c r="E135" s="199" t="str">
        <f>IF(F73="si","S/.",IF(AND(F73="no"),"No considerar"))</f>
        <v>No considerar</v>
      </c>
      <c r="F135" s="195">
        <v>102.82</v>
      </c>
      <c r="G135" s="194" t="str">
        <f t="shared" si="1"/>
        <v>No considerar</v>
      </c>
      <c r="H135" s="330">
        <f t="shared" si="0"/>
        <v>87.135593220338976</v>
      </c>
    </row>
    <row r="136" spans="1:9" x14ac:dyDescent="0.25">
      <c r="A136" s="2"/>
      <c r="B136" s="196" t="str">
        <f>IF(F74="si","Acero de",IF(AND(F74="no"),"-"))</f>
        <v>-</v>
      </c>
      <c r="C136" s="197" t="str">
        <f>IF(F74="si","1""",IF(AND(F74="no"),"-"))</f>
        <v>-</v>
      </c>
      <c r="D136" s="198" t="str">
        <f>IF(F74="si","varilla",IF(AND(F74="no"),"-"))</f>
        <v>-</v>
      </c>
      <c r="E136" s="199" t="str">
        <f>IF(F74="si","S/.",IF(AND(F74="no"),"No considerar"))</f>
        <v>No considerar</v>
      </c>
      <c r="F136" s="195">
        <v>120</v>
      </c>
      <c r="G136" s="194" t="str">
        <f t="shared" si="1"/>
        <v>No considerar</v>
      </c>
      <c r="H136" s="330">
        <f t="shared" si="0"/>
        <v>101.69491525423729</v>
      </c>
    </row>
    <row r="137" spans="1:9" ht="15" customHeight="1" x14ac:dyDescent="0.25">
      <c r="A137" s="2"/>
      <c r="B137" s="446" t="s">
        <v>238</v>
      </c>
      <c r="C137" s="446"/>
      <c r="D137" s="198" t="s">
        <v>169</v>
      </c>
      <c r="E137" s="199" t="s">
        <v>24</v>
      </c>
      <c r="F137" s="195">
        <v>7.54</v>
      </c>
      <c r="G137" s="194" t="s">
        <v>24</v>
      </c>
      <c r="H137" s="330">
        <f t="shared" si="0"/>
        <v>6.389830508474577</v>
      </c>
    </row>
    <row r="138" spans="1:9" ht="15" customHeight="1" x14ac:dyDescent="0.25">
      <c r="A138" s="2"/>
      <c r="B138" s="446" t="s">
        <v>418</v>
      </c>
      <c r="C138" s="446"/>
      <c r="D138" s="198" t="s">
        <v>169</v>
      </c>
      <c r="E138" s="199" t="s">
        <v>24</v>
      </c>
      <c r="F138" s="195">
        <v>7.57</v>
      </c>
      <c r="G138" s="194" t="s">
        <v>24</v>
      </c>
      <c r="H138" s="330">
        <f t="shared" si="0"/>
        <v>6.4152542372881358</v>
      </c>
    </row>
    <row r="139" spans="1:9" ht="15.75" x14ac:dyDescent="0.25">
      <c r="A139" s="2"/>
      <c r="B139" s="579" t="s">
        <v>239</v>
      </c>
      <c r="C139" s="579"/>
      <c r="D139" s="193" t="s">
        <v>298</v>
      </c>
      <c r="E139" s="199" t="s">
        <v>24</v>
      </c>
      <c r="F139" s="195">
        <v>4.5</v>
      </c>
      <c r="G139" s="194" t="s">
        <v>24</v>
      </c>
      <c r="H139" s="330">
        <f t="shared" si="0"/>
        <v>3.8135593220338984</v>
      </c>
    </row>
    <row r="140" spans="1:9" x14ac:dyDescent="0.25">
      <c r="A140" s="2"/>
      <c r="B140" s="446" t="s">
        <v>240</v>
      </c>
      <c r="C140" s="446"/>
      <c r="D140" s="193" t="s">
        <v>169</v>
      </c>
      <c r="E140" s="199" t="s">
        <v>24</v>
      </c>
      <c r="F140" s="195">
        <v>8.1</v>
      </c>
      <c r="G140" s="194" t="s">
        <v>24</v>
      </c>
      <c r="H140" s="330">
        <f t="shared" si="0"/>
        <v>6.8644067796610173</v>
      </c>
    </row>
    <row r="141" spans="1:9" x14ac:dyDescent="0.25">
      <c r="A141" s="2"/>
      <c r="B141" s="2"/>
      <c r="C141" s="185"/>
      <c r="D141" s="185"/>
      <c r="E141" s="161"/>
      <c r="F141" s="200"/>
      <c r="G141" s="301"/>
      <c r="H141" s="2"/>
      <c r="I141" s="2"/>
    </row>
    <row r="142" spans="1:9" x14ac:dyDescent="0.25">
      <c r="A142" s="2"/>
      <c r="B142" s="100" t="s">
        <v>152</v>
      </c>
      <c r="C142" s="120"/>
      <c r="D142" s="31"/>
      <c r="E142" s="32"/>
      <c r="F142" s="33"/>
      <c r="G142" s="2"/>
      <c r="H142" s="2"/>
      <c r="I142" s="2"/>
    </row>
    <row r="143" spans="1:9" x14ac:dyDescent="0.25">
      <c r="A143" s="28"/>
      <c r="B143" s="185"/>
      <c r="C143" s="185"/>
      <c r="D143" s="68"/>
      <c r="E143" s="259"/>
      <c r="F143" s="33"/>
      <c r="G143" s="32"/>
      <c r="H143" s="260"/>
      <c r="I143" s="2"/>
    </row>
    <row r="144" spans="1:9" x14ac:dyDescent="0.25">
      <c r="A144" s="28" t="s">
        <v>119</v>
      </c>
      <c r="B144" s="573" t="s">
        <v>26</v>
      </c>
      <c r="C144" s="574"/>
      <c r="D144" s="138" t="s">
        <v>123</v>
      </c>
      <c r="E144" s="584" t="s">
        <v>116</v>
      </c>
      <c r="F144" s="584"/>
      <c r="G144" s="577" t="s">
        <v>117</v>
      </c>
      <c r="H144" s="578"/>
      <c r="I144" s="2"/>
    </row>
    <row r="145" spans="1:9" x14ac:dyDescent="0.25">
      <c r="A145" s="28" t="s">
        <v>120</v>
      </c>
      <c r="B145" s="534" t="s">
        <v>264</v>
      </c>
      <c r="C145" s="535"/>
      <c r="D145" s="284" t="s">
        <v>396</v>
      </c>
      <c r="E145" s="115" t="s">
        <v>24</v>
      </c>
      <c r="F145" s="30">
        <v>10</v>
      </c>
      <c r="G145" s="29" t="s">
        <v>24</v>
      </c>
      <c r="H145" s="106">
        <f>F145/1.18</f>
        <v>8.4745762711864412</v>
      </c>
      <c r="I145" s="2"/>
    </row>
    <row r="146" spans="1:9" x14ac:dyDescent="0.25">
      <c r="A146" s="28"/>
      <c r="B146" s="534" t="s">
        <v>54</v>
      </c>
      <c r="C146" s="535"/>
      <c r="D146" s="284" t="s">
        <v>396</v>
      </c>
      <c r="E146" s="115" t="s">
        <v>24</v>
      </c>
      <c r="F146" s="30">
        <v>12</v>
      </c>
      <c r="G146" s="29" t="s">
        <v>24</v>
      </c>
      <c r="H146" s="106">
        <f t="shared" ref="H146" si="2">F146/1.18</f>
        <v>10.16949152542373</v>
      </c>
      <c r="I146" s="2"/>
    </row>
    <row r="147" spans="1:9" x14ac:dyDescent="0.25">
      <c r="A147" s="28"/>
      <c r="B147" s="286" t="s">
        <v>119</v>
      </c>
      <c r="C147" s="185"/>
      <c r="D147" s="68"/>
      <c r="E147" s="259"/>
      <c r="F147" s="33"/>
      <c r="G147" s="32"/>
      <c r="H147" s="260"/>
      <c r="I147" s="2"/>
    </row>
    <row r="148" spans="1:9" x14ac:dyDescent="0.25">
      <c r="A148" s="28" t="s">
        <v>120</v>
      </c>
      <c r="B148" s="287" t="s">
        <v>120</v>
      </c>
      <c r="C148" s="31"/>
      <c r="D148" s="31"/>
      <c r="E148" s="32"/>
      <c r="F148" s="33"/>
      <c r="G148" s="2"/>
      <c r="H148" s="2"/>
      <c r="I148" s="2"/>
    </row>
    <row r="149" spans="1:9" x14ac:dyDescent="0.25">
      <c r="A149" s="164"/>
      <c r="B149" s="455" t="s">
        <v>179</v>
      </c>
      <c r="C149" s="455"/>
      <c r="D149" s="564"/>
      <c r="E149" s="17" t="s">
        <v>120</v>
      </c>
      <c r="F149" s="565" t="s">
        <v>149</v>
      </c>
      <c r="G149" s="565"/>
      <c r="H149" s="2"/>
    </row>
    <row r="150" spans="1:9" x14ac:dyDescent="0.25">
      <c r="A150" s="2"/>
      <c r="B150" s="18"/>
      <c r="C150" s="31"/>
      <c r="D150" s="31"/>
      <c r="E150" s="32"/>
      <c r="F150" s="565"/>
      <c r="G150" s="565"/>
      <c r="H150" s="2"/>
      <c r="I150" s="2"/>
    </row>
    <row r="151" spans="1:9" x14ac:dyDescent="0.25">
      <c r="A151" s="2"/>
      <c r="B151" s="18"/>
      <c r="C151" s="31"/>
      <c r="D151" s="31"/>
      <c r="E151" s="32"/>
      <c r="F151" s="33"/>
      <c r="G151" s="2"/>
      <c r="H151" s="2"/>
      <c r="I151" s="2"/>
    </row>
    <row r="152" spans="1:9" x14ac:dyDescent="0.25">
      <c r="A152" s="2"/>
      <c r="B152" s="2"/>
      <c r="C152" s="185"/>
      <c r="D152" s="185"/>
      <c r="E152" s="161"/>
      <c r="F152" s="200"/>
      <c r="G152" s="301"/>
      <c r="H152" s="2"/>
      <c r="I152" s="2"/>
    </row>
    <row r="153" spans="1:9" x14ac:dyDescent="0.25">
      <c r="A153" s="2"/>
      <c r="B153" s="100" t="s">
        <v>144</v>
      </c>
      <c r="C153" s="120"/>
      <c r="D153" s="31"/>
      <c r="E153" s="32"/>
      <c r="F153" s="33"/>
      <c r="G153" s="2"/>
      <c r="H153" s="2"/>
      <c r="I153" s="2"/>
    </row>
    <row r="154" spans="1:9" x14ac:dyDescent="0.25">
      <c r="A154" s="2"/>
      <c r="B154" s="18"/>
      <c r="C154" s="31"/>
      <c r="D154" s="31"/>
      <c r="E154" s="32"/>
      <c r="F154" s="33"/>
      <c r="G154" s="2"/>
      <c r="H154" s="2"/>
      <c r="I154" s="2"/>
    </row>
    <row r="155" spans="1:9" x14ac:dyDescent="0.25">
      <c r="A155" s="2"/>
      <c r="B155" s="567" t="s">
        <v>124</v>
      </c>
      <c r="C155" s="568"/>
      <c r="D155" s="568"/>
      <c r="E155" s="568"/>
      <c r="F155" s="568"/>
      <c r="G155" s="569"/>
      <c r="H155" s="2"/>
      <c r="I155" s="2"/>
    </row>
    <row r="156" spans="1:9" x14ac:dyDescent="0.25">
      <c r="A156" s="2"/>
      <c r="B156" s="570" t="s">
        <v>125</v>
      </c>
      <c r="C156" s="571"/>
      <c r="D156" s="571"/>
      <c r="E156" s="571"/>
      <c r="F156" s="571"/>
      <c r="G156" s="572"/>
      <c r="H156" s="2"/>
      <c r="I156" s="2"/>
    </row>
    <row r="157" spans="1:9" x14ac:dyDescent="0.25">
      <c r="A157" s="2"/>
      <c r="B157" s="524" t="s">
        <v>126</v>
      </c>
      <c r="C157" s="524"/>
      <c r="D157" s="524"/>
      <c r="E157" s="117" t="s">
        <v>12</v>
      </c>
      <c r="F157" s="118" t="s">
        <v>13</v>
      </c>
      <c r="G157" s="117" t="s">
        <v>14</v>
      </c>
      <c r="H157" s="2"/>
      <c r="I157" s="2"/>
    </row>
    <row r="158" spans="1:9" x14ac:dyDescent="0.25">
      <c r="A158" s="2"/>
      <c r="B158" s="525" t="s">
        <v>127</v>
      </c>
      <c r="C158" s="525"/>
      <c r="D158" s="525"/>
      <c r="E158" s="112">
        <v>74.3</v>
      </c>
      <c r="F158" s="112">
        <v>58.45</v>
      </c>
      <c r="G158" s="112">
        <v>52.5</v>
      </c>
      <c r="H158" s="2"/>
      <c r="I158" s="2"/>
    </row>
    <row r="159" spans="1:9" x14ac:dyDescent="0.25">
      <c r="A159" s="2"/>
      <c r="B159" s="526" t="s">
        <v>128</v>
      </c>
      <c r="C159" s="526"/>
      <c r="D159" s="526"/>
      <c r="E159" s="84"/>
      <c r="F159" s="112"/>
      <c r="G159" s="112"/>
      <c r="H159" s="2"/>
      <c r="I159" s="2"/>
    </row>
    <row r="160" spans="1:9" x14ac:dyDescent="0.25">
      <c r="A160" s="2"/>
      <c r="B160" s="121"/>
      <c r="C160" s="122" t="s">
        <v>12</v>
      </c>
      <c r="D160" s="123">
        <v>0.32</v>
      </c>
      <c r="E160" s="84">
        <f>D160*E158</f>
        <v>23.776</v>
      </c>
      <c r="F160" s="112"/>
      <c r="G160" s="112"/>
      <c r="H160" s="2"/>
      <c r="I160" s="2"/>
    </row>
    <row r="161" spans="1:9" x14ac:dyDescent="0.25">
      <c r="A161" s="2"/>
      <c r="B161" s="124"/>
      <c r="C161" s="125" t="s">
        <v>13</v>
      </c>
      <c r="D161" s="126">
        <v>0.3</v>
      </c>
      <c r="E161" s="84"/>
      <c r="F161" s="112">
        <f>D161*F158</f>
        <v>17.535</v>
      </c>
      <c r="G161" s="112"/>
      <c r="H161" s="2"/>
      <c r="I161" s="2"/>
    </row>
    <row r="162" spans="1:9" x14ac:dyDescent="0.25">
      <c r="A162" s="2"/>
      <c r="B162" s="124"/>
      <c r="C162" s="125" t="s">
        <v>14</v>
      </c>
      <c r="D162" s="126">
        <v>0.3</v>
      </c>
      <c r="E162" s="84"/>
      <c r="F162" s="112"/>
      <c r="G162" s="112">
        <f>D162*G158</f>
        <v>15.75</v>
      </c>
      <c r="H162" s="2"/>
      <c r="I162" s="2"/>
    </row>
    <row r="163" spans="1:9" ht="15" customHeight="1" x14ac:dyDescent="0.25">
      <c r="A163" s="2"/>
      <c r="B163" s="527" t="s">
        <v>129</v>
      </c>
      <c r="C163" s="528"/>
      <c r="D163" s="127">
        <v>1.1345000000000001</v>
      </c>
      <c r="E163" s="84">
        <f>D163*E158</f>
        <v>84.293350000000004</v>
      </c>
      <c r="F163" s="112">
        <f>D163*F158</f>
        <v>66.311525000000003</v>
      </c>
      <c r="G163" s="112">
        <f>D163*G158</f>
        <v>59.561250000000001</v>
      </c>
      <c r="H163" s="2"/>
      <c r="I163" s="2"/>
    </row>
    <row r="164" spans="1:9" ht="15" customHeight="1" x14ac:dyDescent="0.25">
      <c r="A164" s="2"/>
      <c r="B164" s="527" t="s">
        <v>130</v>
      </c>
      <c r="C164" s="528"/>
      <c r="D164" s="128">
        <v>0.12</v>
      </c>
      <c r="E164" s="84">
        <f>D164*E160</f>
        <v>2.8531199999999997</v>
      </c>
      <c r="F164" s="112">
        <f>D164*F161</f>
        <v>2.1042000000000001</v>
      </c>
      <c r="G164" s="112">
        <f>D164*G162</f>
        <v>1.89</v>
      </c>
      <c r="H164" s="2"/>
      <c r="I164" s="2"/>
    </row>
    <row r="165" spans="1:9" x14ac:dyDescent="0.25">
      <c r="A165" s="2"/>
      <c r="B165" s="526" t="s">
        <v>131</v>
      </c>
      <c r="C165" s="526"/>
      <c r="D165" s="526"/>
      <c r="E165" s="84">
        <v>8</v>
      </c>
      <c r="F165" s="112">
        <v>8</v>
      </c>
      <c r="G165" s="112">
        <v>8</v>
      </c>
      <c r="H165" s="2"/>
      <c r="I165" s="2"/>
    </row>
    <row r="166" spans="1:9" x14ac:dyDescent="0.25">
      <c r="A166" s="2"/>
      <c r="B166" s="526" t="s">
        <v>132</v>
      </c>
      <c r="C166" s="526"/>
      <c r="D166" s="526"/>
      <c r="E166" s="84">
        <v>0.4</v>
      </c>
      <c r="F166" s="112">
        <v>0.4</v>
      </c>
      <c r="G166" s="112">
        <v>0.4</v>
      </c>
      <c r="H166" s="2"/>
      <c r="I166" s="2"/>
    </row>
    <row r="167" spans="1:9" x14ac:dyDescent="0.25">
      <c r="A167" s="2"/>
      <c r="B167" s="526" t="s">
        <v>133</v>
      </c>
      <c r="C167" s="526"/>
      <c r="D167" s="526"/>
      <c r="E167" s="84">
        <v>0.17</v>
      </c>
      <c r="F167" s="112">
        <v>0.17</v>
      </c>
      <c r="G167" s="112">
        <v>0.17</v>
      </c>
      <c r="H167" s="2"/>
      <c r="I167" s="2"/>
    </row>
    <row r="168" spans="1:9" x14ac:dyDescent="0.25">
      <c r="A168" s="2"/>
      <c r="B168" s="636" t="s">
        <v>134</v>
      </c>
      <c r="C168" s="636"/>
      <c r="D168" s="636"/>
      <c r="E168" s="119">
        <f>E158+E160+E163+E164+E165+E166+E167</f>
        <v>193.79246999999998</v>
      </c>
      <c r="F168" s="118">
        <f>F158+F161+F163+F164+F165+F166+F167</f>
        <v>152.97072499999999</v>
      </c>
      <c r="G168" s="118">
        <f>G158+G162+G163+G164+G165+G166+G167</f>
        <v>138.27124999999998</v>
      </c>
      <c r="H168" s="2"/>
      <c r="I168" s="2"/>
    </row>
    <row r="169" spans="1:9" x14ac:dyDescent="0.25">
      <c r="A169" s="2"/>
      <c r="B169" s="636" t="s">
        <v>135</v>
      </c>
      <c r="C169" s="636"/>
      <c r="D169" s="636"/>
      <c r="E169" s="119">
        <f>E168/8</f>
        <v>24.224058749999998</v>
      </c>
      <c r="F169" s="118">
        <f>F168/8</f>
        <v>19.121340624999998</v>
      </c>
      <c r="G169" s="118">
        <f>G168/8</f>
        <v>17.283906249999998</v>
      </c>
      <c r="H169" s="2"/>
      <c r="I169" s="2"/>
    </row>
    <row r="170" spans="1:9" x14ac:dyDescent="0.25">
      <c r="A170" s="2"/>
      <c r="B170" s="18"/>
      <c r="C170" s="31"/>
      <c r="D170" s="31"/>
      <c r="E170" s="32"/>
      <c r="F170" s="33"/>
      <c r="G170" s="2"/>
      <c r="H170" s="2"/>
      <c r="I170" s="2"/>
    </row>
    <row r="171" spans="1:9" x14ac:dyDescent="0.25">
      <c r="A171" s="2"/>
      <c r="B171" s="580" t="s">
        <v>136</v>
      </c>
      <c r="C171" s="581"/>
      <c r="D171" s="581"/>
      <c r="E171" s="581"/>
      <c r="F171" s="581"/>
      <c r="G171" s="582"/>
      <c r="H171" s="2"/>
      <c r="I171" s="2"/>
    </row>
    <row r="172" spans="1:9" x14ac:dyDescent="0.25">
      <c r="A172" s="2"/>
      <c r="B172" s="129" t="s">
        <v>137</v>
      </c>
      <c r="C172" s="130"/>
      <c r="D172" s="131"/>
      <c r="E172" s="113">
        <v>1.1000000000000001</v>
      </c>
      <c r="F172" s="114" t="s">
        <v>140</v>
      </c>
      <c r="G172" s="111">
        <f>E172*E169</f>
        <v>26.646464625</v>
      </c>
      <c r="H172" s="2"/>
      <c r="I172" s="2"/>
    </row>
    <row r="173" spans="1:9" x14ac:dyDescent="0.25">
      <c r="A173" s="2"/>
      <c r="B173" s="129" t="s">
        <v>12</v>
      </c>
      <c r="C173" s="130"/>
      <c r="D173" s="131"/>
      <c r="E173" s="113"/>
      <c r="F173" s="114"/>
      <c r="G173" s="111">
        <f>E169</f>
        <v>24.224058749999998</v>
      </c>
      <c r="H173" s="2"/>
      <c r="I173" s="2"/>
    </row>
    <row r="174" spans="1:9" x14ac:dyDescent="0.25">
      <c r="A174" s="2"/>
      <c r="B174" s="129" t="s">
        <v>13</v>
      </c>
      <c r="C174" s="130"/>
      <c r="D174" s="131"/>
      <c r="E174" s="115"/>
      <c r="F174" s="116"/>
      <c r="G174" s="111">
        <f>F169</f>
        <v>19.121340624999998</v>
      </c>
      <c r="H174" s="2"/>
      <c r="I174" s="2"/>
    </row>
    <row r="175" spans="1:9" x14ac:dyDescent="0.25">
      <c r="A175" s="2"/>
      <c r="B175" s="129" t="s">
        <v>14</v>
      </c>
      <c r="C175" s="130"/>
      <c r="D175" s="131"/>
      <c r="E175" s="115"/>
      <c r="F175" s="116"/>
      <c r="G175" s="111">
        <f>G169</f>
        <v>17.283906249999998</v>
      </c>
      <c r="H175" s="2"/>
      <c r="I175" s="2"/>
    </row>
    <row r="176" spans="1:9" ht="15" customHeight="1" x14ac:dyDescent="0.25">
      <c r="A176" s="2"/>
      <c r="B176" s="129" t="s">
        <v>138</v>
      </c>
      <c r="C176" s="130"/>
      <c r="D176" s="131"/>
      <c r="E176" s="113">
        <v>1</v>
      </c>
      <c r="F176" s="114" t="s">
        <v>141</v>
      </c>
      <c r="G176" s="111">
        <f>E176*F169</f>
        <v>19.121340624999998</v>
      </c>
      <c r="H176" s="2"/>
      <c r="I176" s="2"/>
    </row>
    <row r="177" spans="1:9" x14ac:dyDescent="0.25">
      <c r="A177" s="2"/>
      <c r="B177" s="630" t="s">
        <v>25</v>
      </c>
      <c r="C177" s="631"/>
      <c r="D177" s="632"/>
      <c r="E177" s="113">
        <v>1.08</v>
      </c>
      <c r="F177" s="114" t="s">
        <v>140</v>
      </c>
      <c r="G177" s="111">
        <f>E177*E169</f>
        <v>26.161983449999997</v>
      </c>
      <c r="H177" s="2"/>
      <c r="I177" s="2"/>
    </row>
    <row r="178" spans="1:9" x14ac:dyDescent="0.25">
      <c r="A178" s="2"/>
      <c r="B178" s="630" t="s">
        <v>139</v>
      </c>
      <c r="C178" s="631"/>
      <c r="D178" s="632"/>
      <c r="E178" s="113">
        <v>1.1000000000000001</v>
      </c>
      <c r="F178" s="114" t="s">
        <v>140</v>
      </c>
      <c r="G178" s="111">
        <f>E178*E169</f>
        <v>26.646464625</v>
      </c>
      <c r="H178" s="2"/>
      <c r="I178" s="2"/>
    </row>
    <row r="179" spans="1:9" x14ac:dyDescent="0.25">
      <c r="A179" s="2"/>
      <c r="B179" s="633" t="s">
        <v>142</v>
      </c>
      <c r="C179" s="633"/>
      <c r="D179" s="633"/>
      <c r="E179" s="633"/>
      <c r="F179" s="633"/>
      <c r="G179" s="633"/>
      <c r="H179" s="2"/>
      <c r="I179" s="2"/>
    </row>
    <row r="180" spans="1:9" x14ac:dyDescent="0.25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5">
      <c r="A181" s="28" t="s">
        <v>147</v>
      </c>
      <c r="B181" s="132" t="s">
        <v>145</v>
      </c>
      <c r="C181" s="133"/>
      <c r="D181" s="136">
        <v>4600</v>
      </c>
      <c r="E181" s="32" t="s">
        <v>146</v>
      </c>
      <c r="F181" s="134">
        <f>50*D181</f>
        <v>230000</v>
      </c>
      <c r="G181" s="2"/>
      <c r="H181" s="2"/>
      <c r="I181" s="2"/>
    </row>
    <row r="182" spans="1:9" x14ac:dyDescent="0.25">
      <c r="A182" s="28" t="s">
        <v>148</v>
      </c>
      <c r="B182" s="18"/>
      <c r="C182" s="31"/>
      <c r="D182" s="31"/>
      <c r="E182" s="32"/>
      <c r="F182" s="33"/>
      <c r="G182" s="2"/>
      <c r="H182" s="2"/>
      <c r="I182" s="2"/>
    </row>
    <row r="183" spans="1:9" x14ac:dyDescent="0.25">
      <c r="A183" s="28"/>
      <c r="B183" s="456" t="s">
        <v>351</v>
      </c>
      <c r="C183" s="634"/>
      <c r="D183" s="17" t="s">
        <v>147</v>
      </c>
      <c r="E183" s="635" t="s">
        <v>150</v>
      </c>
      <c r="F183" s="635"/>
      <c r="G183" s="2"/>
      <c r="I183" s="2"/>
    </row>
    <row r="184" spans="1:9" x14ac:dyDescent="0.25">
      <c r="A184" s="28"/>
      <c r="B184" s="18"/>
      <c r="C184" s="31"/>
      <c r="D184" s="31"/>
      <c r="E184" s="635"/>
      <c r="F184" s="635"/>
      <c r="G184" s="2"/>
      <c r="H184" s="2"/>
      <c r="I184" s="2"/>
    </row>
    <row r="185" spans="1:9" x14ac:dyDescent="0.25">
      <c r="A185" s="2"/>
      <c r="B185" s="18"/>
      <c r="C185" s="31"/>
      <c r="D185" s="31"/>
      <c r="E185" s="32"/>
      <c r="F185" s="33"/>
      <c r="G185" s="2"/>
      <c r="H185" s="2"/>
      <c r="I185" s="2"/>
    </row>
    <row r="186" spans="1:9" x14ac:dyDescent="0.25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5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5">
      <c r="A188" s="2"/>
      <c r="B188" s="2"/>
      <c r="C188" s="185"/>
      <c r="D188" s="185"/>
      <c r="E188" s="161"/>
      <c r="F188" s="200"/>
      <c r="G188" s="301"/>
      <c r="H188" s="2"/>
      <c r="I188" s="2"/>
    </row>
    <row r="189" spans="1:9" ht="15" customHeight="1" x14ac:dyDescent="0.25">
      <c r="A189" s="2"/>
      <c r="B189" s="2"/>
      <c r="C189" s="98"/>
      <c r="D189" s="98"/>
      <c r="E189" s="161"/>
      <c r="F189" s="200"/>
      <c r="G189" s="560" t="s">
        <v>28</v>
      </c>
      <c r="H189" s="560"/>
      <c r="I189" s="2"/>
    </row>
    <row r="190" spans="1:9" x14ac:dyDescent="0.25">
      <c r="A190" s="2"/>
      <c r="B190" s="2"/>
      <c r="C190" s="201"/>
      <c r="D190" s="201"/>
      <c r="E190" s="68"/>
      <c r="F190" s="32"/>
      <c r="G190" s="560"/>
      <c r="H190" s="560"/>
      <c r="I190" s="2"/>
    </row>
    <row r="191" spans="1:9" ht="15" customHeight="1" x14ac:dyDescent="0.25">
      <c r="A191" s="2"/>
      <c r="B191" s="2"/>
      <c r="C191" s="201"/>
      <c r="D191" s="201"/>
      <c r="E191" s="68"/>
      <c r="F191" s="32"/>
      <c r="G191" s="560"/>
      <c r="H191" s="560"/>
      <c r="I191" s="2"/>
    </row>
    <row r="192" spans="1:9" ht="15" customHeight="1" x14ac:dyDescent="0.25">
      <c r="A192" s="2"/>
      <c r="B192" s="2"/>
      <c r="C192" s="201"/>
      <c r="D192" s="201"/>
      <c r="E192" s="68"/>
      <c r="F192" s="32"/>
      <c r="G192" s="202"/>
      <c r="H192" s="202"/>
      <c r="I192" s="2"/>
    </row>
    <row r="193" spans="1:11" x14ac:dyDescent="0.25">
      <c r="A193" s="399" t="s">
        <v>699</v>
      </c>
      <c r="B193" s="401"/>
      <c r="C193" s="401"/>
      <c r="D193" s="401"/>
      <c r="E193" s="402"/>
      <c r="F193" s="2"/>
      <c r="G193" s="203"/>
      <c r="H193" s="203"/>
      <c r="I193" s="2"/>
    </row>
    <row r="194" spans="1:11" x14ac:dyDescent="0.25">
      <c r="A194" s="2"/>
      <c r="B194" s="2"/>
      <c r="C194" s="201"/>
      <c r="D194" s="201"/>
      <c r="E194" s="68"/>
      <c r="F194" s="32"/>
      <c r="G194" s="203"/>
      <c r="H194" s="203"/>
      <c r="I194" s="2"/>
    </row>
    <row r="195" spans="1:11" ht="15.75" x14ac:dyDescent="0.25">
      <c r="A195" s="2"/>
      <c r="B195" s="2"/>
      <c r="C195" s="48" t="s">
        <v>700</v>
      </c>
      <c r="D195" s="204"/>
      <c r="E195" s="204"/>
      <c r="F195" s="205">
        <f>E31</f>
        <v>210</v>
      </c>
      <c r="G195" s="206">
        <v>25</v>
      </c>
      <c r="H195" s="207" t="s">
        <v>76</v>
      </c>
      <c r="I195" s="208"/>
    </row>
    <row r="196" spans="1:11" ht="15.75" customHeight="1" x14ac:dyDescent="0.25">
      <c r="A196" s="2"/>
      <c r="B196" s="7"/>
      <c r="C196" s="48" t="s">
        <v>701</v>
      </c>
      <c r="D196" s="209"/>
      <c r="E196" s="209"/>
      <c r="F196" s="49"/>
      <c r="G196" s="206">
        <v>80</v>
      </c>
      <c r="H196" s="207" t="s">
        <v>300</v>
      </c>
      <c r="I196" s="208"/>
    </row>
    <row r="197" spans="1:11" x14ac:dyDescent="0.25">
      <c r="A197" s="2"/>
      <c r="B197" s="7"/>
      <c r="C197" s="48"/>
      <c r="D197" s="209"/>
      <c r="E197" s="209"/>
      <c r="F197" s="49"/>
      <c r="G197" s="206"/>
      <c r="H197" s="207"/>
      <c r="I197" s="208"/>
    </row>
    <row r="198" spans="1:11" x14ac:dyDescent="0.25">
      <c r="A198" s="2"/>
      <c r="B198" s="7"/>
      <c r="C198" s="48" t="s">
        <v>420</v>
      </c>
      <c r="D198" s="209"/>
      <c r="E198" s="209"/>
      <c r="F198" s="49"/>
      <c r="G198" s="206"/>
      <c r="H198" s="207"/>
      <c r="I198" s="208"/>
    </row>
    <row r="199" spans="1:11" x14ac:dyDescent="0.25">
      <c r="A199" s="2"/>
      <c r="B199" s="7"/>
      <c r="C199" s="561" t="str">
        <f>IF(F70="si","      ACERO DE",IF(AND(F70="no"),"-"))</f>
        <v xml:space="preserve">      ACERO DE</v>
      </c>
      <c r="D199" s="562"/>
      <c r="E199" s="210" t="str">
        <f>IF(F70="si","3/8""",IF(AND(F70="no"),"-"))</f>
        <v>3/8"</v>
      </c>
      <c r="F199" s="49"/>
      <c r="G199" s="206">
        <v>150</v>
      </c>
      <c r="H199" s="207" t="str">
        <f>IF(F70="si","kg",IF(AND(F70="no"),"-"))</f>
        <v>kg</v>
      </c>
      <c r="I199" s="208"/>
      <c r="K199" s="54"/>
    </row>
    <row r="200" spans="1:11" x14ac:dyDescent="0.25">
      <c r="A200" s="2"/>
      <c r="B200" s="583" t="s">
        <v>242</v>
      </c>
      <c r="C200" s="561" t="str">
        <f>IF(F71="si","      ACERO DE",IF(AND(F71="no"),"-"))</f>
        <v xml:space="preserve">      ACERO DE</v>
      </c>
      <c r="D200" s="562"/>
      <c r="E200" s="210" t="str">
        <f>IF(F71="si","1/2""",IF(AND(F71="no"),"-"))</f>
        <v>1/2"</v>
      </c>
      <c r="F200" s="49"/>
      <c r="G200" s="206">
        <v>250</v>
      </c>
      <c r="H200" s="207" t="str">
        <f>IF(F71="si","kg",IF(AND(F71="no"),"-"))</f>
        <v>kg</v>
      </c>
      <c r="I200" s="208"/>
    </row>
    <row r="201" spans="1:11" x14ac:dyDescent="0.25">
      <c r="A201" s="2"/>
      <c r="B201" s="583"/>
      <c r="C201" s="561" t="str">
        <f>IF(F72="si","      ACERO DE",IF(AND(F72="no"),"-"))</f>
        <v xml:space="preserve">      ACERO DE</v>
      </c>
      <c r="D201" s="562"/>
      <c r="E201" s="210" t="str">
        <f>IF(F72="si","5/8""",IF(AND(F72="no"),"-"))</f>
        <v>5/8"</v>
      </c>
      <c r="F201" s="49"/>
      <c r="G201" s="206">
        <v>250</v>
      </c>
      <c r="H201" s="207" t="str">
        <f>IF(F72="si","kg",IF(AND(F72="no"),"-"))</f>
        <v>kg</v>
      </c>
      <c r="I201" s="208"/>
    </row>
    <row r="202" spans="1:11" x14ac:dyDescent="0.25">
      <c r="A202" s="2"/>
      <c r="B202" s="583"/>
      <c r="C202" s="561" t="str">
        <f>IF(F73="si","      ACERO DE",IF(AND(F73="no"),"-"))</f>
        <v>-</v>
      </c>
      <c r="D202" s="562"/>
      <c r="E202" s="210" t="str">
        <f>IF(F73="si","3/4""",IF(AND(F73="no"),"-"))</f>
        <v>-</v>
      </c>
      <c r="F202" s="49"/>
      <c r="G202" s="206">
        <v>0</v>
      </c>
      <c r="H202" s="207" t="str">
        <f>IF(F73="si","kg",IF(AND(F73="no"),"-"))</f>
        <v>-</v>
      </c>
      <c r="I202" s="208"/>
    </row>
    <row r="203" spans="1:11" x14ac:dyDescent="0.25">
      <c r="A203" s="2"/>
      <c r="B203" s="583"/>
      <c r="C203" s="561" t="str">
        <f>IF(F74="si","      ACERO DE",IF(AND(F74="no"),"-"))</f>
        <v>-</v>
      </c>
      <c r="D203" s="562"/>
      <c r="E203" s="210" t="str">
        <f>IF(F74="si","1""",IF(AND(F74="no"),"-"))</f>
        <v>-</v>
      </c>
      <c r="F203" s="49"/>
      <c r="G203" s="206">
        <v>0</v>
      </c>
      <c r="H203" s="207" t="str">
        <f>IF(F74="si","kg",IF(AND(F74="no"),"-"))</f>
        <v>-</v>
      </c>
      <c r="I203" s="208"/>
    </row>
    <row r="204" spans="1:11" x14ac:dyDescent="0.25">
      <c r="A204" s="2"/>
      <c r="B204" s="2"/>
      <c r="C204" s="48"/>
      <c r="D204" s="209"/>
      <c r="E204" s="209"/>
      <c r="F204" s="49"/>
      <c r="G204" s="206"/>
      <c r="H204" s="207"/>
      <c r="I204" s="208"/>
    </row>
    <row r="205" spans="1:11" x14ac:dyDescent="0.25">
      <c r="A205" s="2"/>
      <c r="B205" s="2"/>
      <c r="C205" s="48" t="s">
        <v>421</v>
      </c>
      <c r="D205" s="209"/>
      <c r="E205" s="209"/>
      <c r="F205" s="49"/>
      <c r="G205" s="206"/>
      <c r="H205" s="207"/>
      <c r="I205" s="208"/>
    </row>
    <row r="206" spans="1:11" x14ac:dyDescent="0.25">
      <c r="A206" s="2"/>
      <c r="B206" s="2"/>
      <c r="C206" s="561" t="str">
        <f>IF(F80="si","      ACERO DE",IF(AND(F80="no"),"-"))</f>
        <v>-</v>
      </c>
      <c r="D206" s="562"/>
      <c r="E206" s="210" t="str">
        <f>IF(F80="si","6 mm",IF(AND(F80="no"),"-"))</f>
        <v>-</v>
      </c>
      <c r="F206" s="49"/>
      <c r="G206" s="206">
        <v>0</v>
      </c>
      <c r="H206" s="207" t="str">
        <f>IF(F80="si","kg",IF(AND(F80="no"),"-"))</f>
        <v>-</v>
      </c>
      <c r="I206" s="208"/>
      <c r="K206" s="54"/>
    </row>
    <row r="207" spans="1:11" x14ac:dyDescent="0.25">
      <c r="A207" s="2"/>
      <c r="B207" s="2"/>
      <c r="C207" s="561" t="str">
        <f>IF(F81="si","      ACERO DE",IF(AND(F81="no"),"-"))</f>
        <v xml:space="preserve">      ACERO DE</v>
      </c>
      <c r="D207" s="562"/>
      <c r="E207" s="210" t="str">
        <f>IF(F81="si","8 mm",IF(AND(F81="no"),"-"))</f>
        <v>8 mm</v>
      </c>
      <c r="F207" s="49"/>
      <c r="G207" s="206">
        <v>300</v>
      </c>
      <c r="H207" s="207" t="str">
        <f>IF(F81="si","kg",IF(AND(F81="no"),"-"))</f>
        <v>kg</v>
      </c>
      <c r="I207" s="208"/>
    </row>
    <row r="208" spans="1:11" x14ac:dyDescent="0.25">
      <c r="A208" s="2"/>
      <c r="B208" s="2"/>
      <c r="C208" s="561" t="str">
        <f>IF(F82="si","      ACERO DE",IF(AND(F82="no"),"-"))</f>
        <v xml:space="preserve">      ACERO DE</v>
      </c>
      <c r="D208" s="562"/>
      <c r="E208" s="210" t="str">
        <f>IF(F82="si","3/8""",IF(AND(F82="no"),"-"))</f>
        <v>3/8"</v>
      </c>
      <c r="F208" s="49"/>
      <c r="G208" s="206">
        <v>100</v>
      </c>
      <c r="H208" s="207" t="str">
        <f>IF(F82="si","kg",IF(AND(F82="no"),"-"))</f>
        <v>kg</v>
      </c>
      <c r="I208" s="208"/>
    </row>
    <row r="209" spans="1:10" x14ac:dyDescent="0.25">
      <c r="A209" s="2"/>
      <c r="B209" s="2"/>
      <c r="C209" s="201"/>
      <c r="D209" s="201"/>
      <c r="E209" s="68"/>
      <c r="F209" s="32"/>
      <c r="G209" s="34"/>
      <c r="H209" s="2"/>
      <c r="I209" s="2"/>
      <c r="J209" s="303"/>
    </row>
    <row r="210" spans="1:10" x14ac:dyDescent="0.25">
      <c r="A210" s="2"/>
      <c r="B210" s="2"/>
      <c r="C210" s="201"/>
      <c r="D210" s="201"/>
      <c r="E210" s="68"/>
      <c r="F210" s="32"/>
      <c r="G210" s="34"/>
      <c r="H210" s="2"/>
      <c r="I210" s="2"/>
      <c r="J210" s="211"/>
    </row>
    <row r="211" spans="1:10" x14ac:dyDescent="0.25">
      <c r="A211" s="2"/>
      <c r="B211" s="2"/>
      <c r="C211" s="201"/>
      <c r="D211" s="201"/>
      <c r="E211" s="68"/>
      <c r="F211" s="32"/>
      <c r="G211" s="34"/>
      <c r="H211" s="2"/>
      <c r="I211" s="2"/>
      <c r="J211" s="211"/>
    </row>
    <row r="212" spans="1:10" ht="15.75" x14ac:dyDescent="0.25">
      <c r="A212" s="789" t="s">
        <v>30</v>
      </c>
      <c r="B212" s="789"/>
      <c r="C212" s="789"/>
      <c r="D212" s="2"/>
      <c r="E212" s="2"/>
      <c r="F212" s="2"/>
      <c r="G212" s="2"/>
      <c r="H212" s="2"/>
      <c r="I212" s="2"/>
    </row>
    <row r="213" spans="1:10" x14ac:dyDescent="0.25">
      <c r="A213" s="212"/>
      <c r="B213" s="212"/>
      <c r="C213" s="212"/>
      <c r="D213" s="2"/>
      <c r="E213" s="2"/>
      <c r="F213" s="2"/>
      <c r="G213" s="2"/>
      <c r="H213" s="2"/>
      <c r="I213" s="2"/>
    </row>
    <row r="214" spans="1:10" x14ac:dyDescent="0.25">
      <c r="A214" s="399" t="s">
        <v>422</v>
      </c>
      <c r="B214" s="401"/>
      <c r="C214" s="401"/>
      <c r="D214" s="401"/>
      <c r="E214" s="401"/>
      <c r="F214" s="2"/>
      <c r="G214" s="2"/>
      <c r="H214" s="2"/>
      <c r="I214" s="2"/>
    </row>
    <row r="215" spans="1:10" x14ac:dyDescent="0.25">
      <c r="A215" s="22"/>
      <c r="B215" s="2"/>
      <c r="C215" s="2"/>
      <c r="D215" s="2"/>
      <c r="E215" s="2"/>
      <c r="F215" s="2"/>
      <c r="G215" s="2"/>
      <c r="H215" s="2"/>
      <c r="I215" s="2"/>
    </row>
    <row r="216" spans="1:10" x14ac:dyDescent="0.25">
      <c r="A216" s="2"/>
      <c r="B216" s="22" t="s">
        <v>702</v>
      </c>
      <c r="C216" s="2"/>
      <c r="D216" s="2"/>
      <c r="E216" s="2"/>
      <c r="F216" s="2"/>
      <c r="G216" s="2"/>
      <c r="H216" s="2"/>
      <c r="I216" s="2"/>
    </row>
    <row r="217" spans="1:10" x14ac:dyDescent="0.25">
      <c r="A217" s="2"/>
      <c r="B217" s="22"/>
      <c r="C217" s="2"/>
      <c r="D217" s="2"/>
      <c r="E217" s="2"/>
      <c r="F217" s="2"/>
      <c r="G217" s="2"/>
      <c r="H217" s="2"/>
      <c r="I217" s="2"/>
    </row>
    <row r="218" spans="1:10" ht="15.75" x14ac:dyDescent="0.25">
      <c r="A218" s="2"/>
      <c r="B218" s="2"/>
      <c r="C218" s="589" t="s">
        <v>243</v>
      </c>
      <c r="D218" s="590"/>
      <c r="E218" s="213">
        <f>G195</f>
        <v>25</v>
      </c>
      <c r="F218" s="214" t="s">
        <v>32</v>
      </c>
      <c r="G218" s="2"/>
      <c r="H218" s="2"/>
      <c r="I218" s="2"/>
    </row>
    <row r="219" spans="1:10" x14ac:dyDescent="0.25">
      <c r="A219" s="2"/>
      <c r="B219" s="2"/>
      <c r="C219" s="2"/>
      <c r="D219" s="2"/>
      <c r="E219" s="2"/>
      <c r="F219" s="2"/>
      <c r="G219" s="2"/>
      <c r="H219" s="2"/>
      <c r="I219" s="2"/>
    </row>
    <row r="220" spans="1:10" x14ac:dyDescent="0.25">
      <c r="A220" s="2"/>
      <c r="B220" s="537" t="s">
        <v>703</v>
      </c>
      <c r="C220" s="537"/>
      <c r="D220" s="537"/>
      <c r="E220" s="537"/>
      <c r="F220" s="537"/>
      <c r="G220" s="537"/>
      <c r="H220" s="2"/>
      <c r="I220" s="2"/>
    </row>
    <row r="221" spans="1:10" x14ac:dyDescent="0.25">
      <c r="A221" s="2"/>
      <c r="B221" s="215"/>
      <c r="C221" s="563" t="s">
        <v>244</v>
      </c>
      <c r="D221" s="563"/>
      <c r="E221" s="563"/>
      <c r="F221" s="216">
        <f>F40</f>
        <v>0.05</v>
      </c>
      <c r="G221" s="2"/>
      <c r="H221" s="2"/>
      <c r="I221" s="2"/>
    </row>
    <row r="222" spans="1:10" ht="15.75" x14ac:dyDescent="0.25">
      <c r="A222" s="2"/>
      <c r="B222" s="2"/>
      <c r="C222" s="573" t="s">
        <v>245</v>
      </c>
      <c r="D222" s="585"/>
      <c r="E222" s="217">
        <f>E218+E218*F221</f>
        <v>26.25</v>
      </c>
      <c r="F222" s="218" t="s">
        <v>32</v>
      </c>
      <c r="G222" s="2"/>
      <c r="H222" s="2"/>
      <c r="I222" s="2"/>
    </row>
    <row r="223" spans="1:10" x14ac:dyDescent="0.25">
      <c r="A223" s="2"/>
      <c r="B223" s="2"/>
      <c r="C223" s="76"/>
      <c r="D223" s="76"/>
      <c r="E223" s="78"/>
      <c r="F223" s="4"/>
      <c r="G223" s="2"/>
      <c r="H223" s="2"/>
      <c r="I223" s="2"/>
    </row>
    <row r="224" spans="1:10" x14ac:dyDescent="0.25">
      <c r="A224" s="2"/>
      <c r="B224" s="2"/>
      <c r="C224" s="76"/>
      <c r="D224" s="76"/>
      <c r="E224" s="78"/>
      <c r="F224" s="4"/>
      <c r="G224" s="2"/>
      <c r="H224" s="2"/>
      <c r="I224" s="2"/>
    </row>
    <row r="225" spans="1:10" x14ac:dyDescent="0.25">
      <c r="A225" s="2"/>
      <c r="B225" s="22" t="s">
        <v>704</v>
      </c>
      <c r="C225" s="2"/>
      <c r="D225" s="2"/>
      <c r="E225" s="2"/>
      <c r="F225" s="2"/>
      <c r="G225" s="2"/>
      <c r="H225" s="2"/>
      <c r="I225" s="2"/>
    </row>
    <row r="226" spans="1:10" ht="15.75" x14ac:dyDescent="0.25">
      <c r="A226" s="2"/>
      <c r="B226" s="2"/>
      <c r="C226" s="586" t="s">
        <v>301</v>
      </c>
      <c r="D226" s="586"/>
      <c r="E226" s="586"/>
      <c r="F226" s="219">
        <f>F195</f>
        <v>210</v>
      </c>
      <c r="G226" s="220"/>
      <c r="H226" s="2"/>
      <c r="I226" s="2"/>
    </row>
    <row r="227" spans="1:10" ht="15.75" x14ac:dyDescent="0.25">
      <c r="A227" s="2"/>
      <c r="B227" s="2"/>
      <c r="C227" s="43" t="s">
        <v>195</v>
      </c>
      <c r="D227" s="49"/>
      <c r="E227" s="49"/>
      <c r="F227" s="146">
        <f>F34</f>
        <v>9.73</v>
      </c>
      <c r="G227" s="221" t="s">
        <v>302</v>
      </c>
      <c r="H227" s="2"/>
      <c r="I227" s="2"/>
    </row>
    <row r="228" spans="1:10" ht="15.75" x14ac:dyDescent="0.25">
      <c r="A228" s="2"/>
      <c r="B228" s="2"/>
      <c r="C228" s="43" t="s">
        <v>196</v>
      </c>
      <c r="D228" s="49"/>
      <c r="E228" s="49"/>
      <c r="F228" s="146">
        <f>F35</f>
        <v>0.52</v>
      </c>
      <c r="G228" s="221" t="s">
        <v>303</v>
      </c>
      <c r="H228" s="2"/>
      <c r="I228" s="2"/>
    </row>
    <row r="229" spans="1:10" ht="15.75" x14ac:dyDescent="0.25">
      <c r="A229" s="2"/>
      <c r="B229" s="2"/>
      <c r="C229" s="43" t="s">
        <v>197</v>
      </c>
      <c r="D229" s="49"/>
      <c r="E229" s="49"/>
      <c r="F229" s="146">
        <f>F36</f>
        <v>0.53</v>
      </c>
      <c r="G229" s="221" t="s">
        <v>303</v>
      </c>
      <c r="H229" s="2"/>
      <c r="I229" s="2"/>
    </row>
    <row r="230" spans="1:10" ht="15.75" x14ac:dyDescent="0.25">
      <c r="A230" s="2"/>
      <c r="B230" s="2"/>
      <c r="C230" s="43" t="s">
        <v>198</v>
      </c>
      <c r="D230" s="49"/>
      <c r="E230" s="49"/>
      <c r="F230" s="145">
        <f>F37</f>
        <v>0.186</v>
      </c>
      <c r="G230" s="221" t="s">
        <v>303</v>
      </c>
      <c r="H230" s="2"/>
      <c r="I230" s="2"/>
    </row>
    <row r="231" spans="1:10" x14ac:dyDescent="0.25">
      <c r="A231" s="2"/>
      <c r="B231" s="2"/>
      <c r="C231" s="2"/>
      <c r="D231" s="2"/>
      <c r="E231" s="2"/>
      <c r="F231" s="2"/>
      <c r="G231" s="2"/>
      <c r="H231" s="2"/>
      <c r="I231" s="2"/>
    </row>
    <row r="232" spans="1:10" x14ac:dyDescent="0.25">
      <c r="A232" s="2"/>
      <c r="B232" s="2"/>
      <c r="C232" s="2"/>
      <c r="D232" s="2"/>
      <c r="E232" s="2"/>
      <c r="F232" s="2"/>
      <c r="G232" s="2"/>
      <c r="H232" s="2"/>
      <c r="I232" s="2"/>
    </row>
    <row r="233" spans="1:10" x14ac:dyDescent="0.25">
      <c r="A233" s="2"/>
      <c r="B233" s="537" t="s">
        <v>705</v>
      </c>
      <c r="C233" s="537"/>
      <c r="D233" s="537"/>
      <c r="E233" s="537"/>
      <c r="F233" s="537"/>
      <c r="G233" s="537"/>
      <c r="H233" s="537"/>
      <c r="I233" s="2"/>
      <c r="J233" s="54"/>
    </row>
    <row r="234" spans="1:10" x14ac:dyDescent="0.25">
      <c r="A234" s="2"/>
      <c r="B234" s="2"/>
      <c r="C234" s="2"/>
      <c r="D234" s="25" t="s">
        <v>244</v>
      </c>
      <c r="E234" s="2"/>
      <c r="F234" s="2"/>
      <c r="G234" s="216">
        <v>0.05</v>
      </c>
      <c r="H234" s="2"/>
      <c r="I234" s="2"/>
    </row>
    <row r="235" spans="1:10" x14ac:dyDescent="0.25">
      <c r="A235" s="2"/>
      <c r="B235" s="2"/>
      <c r="C235" s="222" t="s">
        <v>195</v>
      </c>
      <c r="D235" s="223"/>
      <c r="E235" s="223"/>
      <c r="F235" s="217">
        <f>(F227*E218)+(F227*E218)*G234</f>
        <v>255.41249999999999</v>
      </c>
      <c r="G235" s="218" t="s">
        <v>35</v>
      </c>
      <c r="H235" s="2"/>
      <c r="I235" s="179"/>
      <c r="J235" s="152"/>
    </row>
    <row r="236" spans="1:10" ht="15.75" x14ac:dyDescent="0.25">
      <c r="A236" s="2"/>
      <c r="B236" s="2"/>
      <c r="C236" s="222" t="s">
        <v>196</v>
      </c>
      <c r="D236" s="223"/>
      <c r="E236" s="223"/>
      <c r="F236" s="217">
        <f>(F228*E218)+(F228*E218)*G234</f>
        <v>13.65</v>
      </c>
      <c r="G236" s="218" t="s">
        <v>32</v>
      </c>
      <c r="H236" s="2"/>
      <c r="I236" s="179"/>
      <c r="J236" s="152"/>
    </row>
    <row r="237" spans="1:10" ht="15.75" x14ac:dyDescent="0.25">
      <c r="A237" s="2"/>
      <c r="B237" s="2"/>
      <c r="C237" s="222" t="s">
        <v>197</v>
      </c>
      <c r="D237" s="223"/>
      <c r="E237" s="223"/>
      <c r="F237" s="217">
        <f>(F229*E218)+(F229*E218)*G234</f>
        <v>13.9125</v>
      </c>
      <c r="G237" s="218" t="s">
        <v>32</v>
      </c>
      <c r="H237" s="2"/>
      <c r="I237" s="179"/>
      <c r="J237" s="152"/>
    </row>
    <row r="238" spans="1:10" ht="15.75" x14ac:dyDescent="0.25">
      <c r="A238" s="2"/>
      <c r="B238" s="2"/>
      <c r="C238" s="222" t="s">
        <v>198</v>
      </c>
      <c r="D238" s="223"/>
      <c r="E238" s="223"/>
      <c r="F238" s="224">
        <f>(F230*E218)+(F230*E218)*G234</f>
        <v>4.8825000000000003</v>
      </c>
      <c r="G238" s="218" t="s">
        <v>32</v>
      </c>
      <c r="H238" s="2"/>
      <c r="I238" s="180"/>
    </row>
    <row r="239" spans="1:10" x14ac:dyDescent="0.25">
      <c r="A239" s="2"/>
      <c r="B239" s="2"/>
      <c r="C239" s="2"/>
      <c r="D239" s="2"/>
      <c r="E239" s="2"/>
      <c r="F239" s="2"/>
      <c r="G239" s="2"/>
      <c r="H239" s="2"/>
      <c r="I239" s="2"/>
    </row>
    <row r="240" spans="1:10" x14ac:dyDescent="0.25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5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5">
      <c r="A242" s="399" t="s">
        <v>424</v>
      </c>
      <c r="B242" s="401"/>
      <c r="C242" s="401"/>
      <c r="D242" s="401"/>
      <c r="E242" s="2"/>
      <c r="F242" s="2"/>
      <c r="G242" s="2"/>
      <c r="H242" s="2"/>
      <c r="I242" s="2"/>
    </row>
    <row r="243" spans="1:9" x14ac:dyDescent="0.25">
      <c r="A243" s="22"/>
      <c r="B243" s="2"/>
      <c r="C243" s="2"/>
      <c r="D243" s="2"/>
      <c r="E243" s="2"/>
      <c r="F243" s="2"/>
      <c r="G243" s="2"/>
      <c r="H243" s="2"/>
      <c r="I243" s="2"/>
    </row>
    <row r="244" spans="1:9" ht="15.75" x14ac:dyDescent="0.25">
      <c r="A244" s="2"/>
      <c r="B244" s="2"/>
      <c r="C244" s="587" t="s">
        <v>706</v>
      </c>
      <c r="D244" s="587"/>
      <c r="E244" s="587"/>
      <c r="F244" s="587"/>
      <c r="G244" s="587"/>
      <c r="H244" s="2"/>
      <c r="I244" s="2"/>
    </row>
    <row r="245" spans="1:9" ht="15.75" x14ac:dyDescent="0.25">
      <c r="A245" s="2"/>
      <c r="B245" s="2"/>
      <c r="C245" s="43" t="s">
        <v>246</v>
      </c>
      <c r="D245" s="49"/>
      <c r="E245" s="49"/>
      <c r="F245" s="146">
        <f>E91</f>
        <v>4.42</v>
      </c>
      <c r="G245" s="50" t="s">
        <v>304</v>
      </c>
      <c r="H245" s="2"/>
      <c r="I245" s="2"/>
    </row>
    <row r="246" spans="1:9" ht="15.75" x14ac:dyDescent="0.25">
      <c r="A246" s="2"/>
      <c r="B246" s="2"/>
      <c r="C246" s="43" t="s">
        <v>247</v>
      </c>
      <c r="D246" s="49"/>
      <c r="E246" s="49"/>
      <c r="F246" s="146">
        <f>E92</f>
        <v>0.17</v>
      </c>
      <c r="G246" s="50" t="s">
        <v>305</v>
      </c>
      <c r="H246" s="2"/>
      <c r="I246" s="2"/>
    </row>
    <row r="247" spans="1:9" ht="15.75" x14ac:dyDescent="0.25">
      <c r="A247" s="2"/>
      <c r="B247" s="2"/>
      <c r="C247" s="43" t="s">
        <v>425</v>
      </c>
      <c r="D247" s="49"/>
      <c r="E247" s="49"/>
      <c r="F247" s="146">
        <f>E93</f>
        <v>0.3</v>
      </c>
      <c r="G247" s="50" t="s">
        <v>305</v>
      </c>
      <c r="H247" s="2"/>
      <c r="I247" s="2"/>
    </row>
    <row r="248" spans="1:9" x14ac:dyDescent="0.25">
      <c r="A248" s="2"/>
      <c r="B248" s="2"/>
      <c r="C248" s="6"/>
      <c r="D248" s="2"/>
      <c r="E248" s="2"/>
      <c r="F248" s="2"/>
      <c r="G248" s="2"/>
      <c r="H248" s="2"/>
      <c r="I248" s="2"/>
    </row>
    <row r="249" spans="1:9" x14ac:dyDescent="0.25">
      <c r="A249" s="2"/>
      <c r="B249" s="537" t="s">
        <v>248</v>
      </c>
      <c r="C249" s="537"/>
      <c r="D249" s="537"/>
      <c r="E249" s="537"/>
      <c r="F249" s="537"/>
      <c r="G249" s="537"/>
      <c r="H249" s="537"/>
      <c r="I249" s="2"/>
    </row>
    <row r="250" spans="1:9" x14ac:dyDescent="0.25">
      <c r="A250" s="2"/>
      <c r="B250" s="2"/>
      <c r="C250" s="215"/>
      <c r="D250" s="563" t="s">
        <v>249</v>
      </c>
      <c r="E250" s="563"/>
      <c r="F250" s="225">
        <v>0.05</v>
      </c>
      <c r="G250" s="215"/>
      <c r="H250" s="2"/>
      <c r="I250" s="2"/>
    </row>
    <row r="251" spans="1:9" ht="15.75" x14ac:dyDescent="0.25">
      <c r="A251" s="2"/>
      <c r="B251" s="2"/>
      <c r="C251" s="222" t="s">
        <v>246</v>
      </c>
      <c r="D251" s="223"/>
      <c r="E251" s="223"/>
      <c r="F251" s="217">
        <f>(F245*G196)+(F245*G196)*F250</f>
        <v>371.28000000000003</v>
      </c>
      <c r="G251" s="218" t="s">
        <v>306</v>
      </c>
      <c r="H251" s="2"/>
      <c r="I251" s="180"/>
    </row>
    <row r="252" spans="1:9" x14ac:dyDescent="0.25">
      <c r="A252" s="2"/>
      <c r="B252" s="2"/>
      <c r="C252" s="222" t="s">
        <v>247</v>
      </c>
      <c r="D252" s="223"/>
      <c r="E252" s="223"/>
      <c r="F252" s="217">
        <f>(F246*G196)+(F246*G196)*F250</f>
        <v>14.280000000000001</v>
      </c>
      <c r="G252" s="218" t="s">
        <v>169</v>
      </c>
      <c r="H252" s="2"/>
      <c r="I252" s="180"/>
    </row>
    <row r="253" spans="1:9" x14ac:dyDescent="0.25">
      <c r="A253" s="2"/>
      <c r="B253" s="2"/>
      <c r="C253" s="222" t="s">
        <v>426</v>
      </c>
      <c r="D253" s="223"/>
      <c r="E253" s="223"/>
      <c r="F253" s="217">
        <f>(F247*G196)+(F247*G196)*F250</f>
        <v>25.2</v>
      </c>
      <c r="G253" s="218" t="s">
        <v>169</v>
      </c>
      <c r="H253" s="2"/>
      <c r="I253" s="180"/>
    </row>
    <row r="254" spans="1:9" x14ac:dyDescent="0.25">
      <c r="A254" s="2"/>
      <c r="B254" s="2"/>
      <c r="C254" s="6"/>
      <c r="D254" s="2"/>
      <c r="E254" s="2"/>
      <c r="F254" s="2"/>
      <c r="G254" s="2"/>
      <c r="H254" s="2"/>
      <c r="I254" s="2"/>
    </row>
    <row r="255" spans="1:9" x14ac:dyDescent="0.25">
      <c r="A255" s="2"/>
      <c r="B255" s="2"/>
      <c r="C255" s="6"/>
      <c r="D255" s="2"/>
      <c r="E255" s="2"/>
      <c r="F255" s="2"/>
      <c r="G255" s="2"/>
      <c r="H255" s="2"/>
      <c r="I255" s="2"/>
    </row>
    <row r="256" spans="1:9" x14ac:dyDescent="0.25">
      <c r="A256" s="2"/>
      <c r="B256" s="2"/>
      <c r="C256" s="6"/>
      <c r="D256" s="2"/>
      <c r="E256" s="2"/>
      <c r="F256" s="2"/>
      <c r="G256" s="2"/>
      <c r="H256" s="2"/>
      <c r="I256" s="2"/>
    </row>
    <row r="257" spans="1:9" x14ac:dyDescent="0.25">
      <c r="A257" s="399" t="s">
        <v>427</v>
      </c>
      <c r="B257" s="401"/>
      <c r="C257" s="401"/>
      <c r="D257" s="401"/>
      <c r="E257" s="401"/>
      <c r="F257" s="2"/>
      <c r="G257" s="32"/>
      <c r="H257" s="35"/>
      <c r="I257" s="226"/>
    </row>
    <row r="258" spans="1:9" x14ac:dyDescent="0.25">
      <c r="A258" s="22"/>
      <c r="B258" s="2"/>
      <c r="C258" s="2"/>
      <c r="D258" s="2"/>
      <c r="E258" s="2"/>
      <c r="F258" s="2"/>
      <c r="G258" s="32"/>
      <c r="H258" s="35"/>
      <c r="I258" s="226"/>
    </row>
    <row r="259" spans="1:9" x14ac:dyDescent="0.25">
      <c r="A259" s="22"/>
      <c r="B259" s="2"/>
      <c r="C259" s="587" t="s">
        <v>307</v>
      </c>
      <c r="D259" s="587"/>
      <c r="E259" s="587"/>
      <c r="F259" s="587"/>
      <c r="G259" s="587"/>
      <c r="H259" s="35"/>
      <c r="I259" s="226"/>
    </row>
    <row r="260" spans="1:9" x14ac:dyDescent="0.25">
      <c r="A260" s="22"/>
      <c r="B260" s="2"/>
      <c r="C260" s="43" t="s">
        <v>250</v>
      </c>
      <c r="D260" s="227"/>
      <c r="E260" s="228"/>
      <c r="F260" s="145">
        <f>1+(((F281*F282*F264)/(F281*F282*F264+F281*F283*F265+F281*(F284+F274)*F266+F273*F275*F267+F273*F276*F268+F273*F277*F269+F273*F278*F270))*F289+((F281*F283*F265)/(F281*F282*F264+F281*F283*F265+F281*(F284+F274)*F266+F273*F275*F267+F273*F276*F268+F273*F277*F269+F273*F278*F270))*F290+((F281*(F284+F274)*F266)/(F281*F282*F264+F281*F283*F265+F281*(F284+F274)*F266+F273*F275*F267+F273*F276*F268+F273*F277*F269+F273*F278*F270))*F291+((F273*F275*F267)/(F281*F282*F264+F281*F283*F265+F281*(F284+F274)*F266+F273*F275*F267+F273*F276*F268+F273*F277*F269+F273*F278*F270))*F292+((F273*F276*F268)/(F281*F282*F264+F281*F283*F265+F281*(F284+F274)*F266+F273*F275*F267+F273*F276*F268+F273*F277*F269+F273*F278*F270))*F293+((F273*F277*F269)/(F281*F282*F264+F281*F283*F265+F281*(F284+F274)*F266+F273*F275*F267+F273*F276*F268+F273*F277*F269+F273*F278*F270))*F294+((F273*F278*F270)/(F281*F282*F264+F281*F283*F265+F281*(F284+F274)*F266+F273*F275*F267+F273*F276*F268+F273*F277*F269+F273*F278*F270))*F295)</f>
        <v>1.0442857142857143</v>
      </c>
      <c r="G260" s="207" t="s">
        <v>169</v>
      </c>
      <c r="H260" s="35"/>
      <c r="I260" s="226"/>
    </row>
    <row r="261" spans="1:9" x14ac:dyDescent="0.25">
      <c r="A261" s="22"/>
      <c r="B261" s="2"/>
      <c r="C261" s="593" t="s">
        <v>238</v>
      </c>
      <c r="D261" s="594"/>
      <c r="E261" s="228"/>
      <c r="F261" s="229">
        <f>F85</f>
        <v>0.05</v>
      </c>
      <c r="G261" s="207" t="s">
        <v>169</v>
      </c>
      <c r="H261" s="35"/>
      <c r="I261" s="226"/>
    </row>
    <row r="262" spans="1:9" x14ac:dyDescent="0.25">
      <c r="A262" s="22"/>
      <c r="B262" s="2"/>
      <c r="C262" s="2"/>
      <c r="D262" s="2"/>
      <c r="E262" s="2"/>
      <c r="F262" s="2"/>
      <c r="G262" s="32"/>
      <c r="H262" s="35"/>
      <c r="I262" s="226"/>
    </row>
    <row r="263" spans="1:9" x14ac:dyDescent="0.25">
      <c r="A263" s="2"/>
      <c r="B263" s="6"/>
      <c r="C263" s="595" t="s">
        <v>251</v>
      </c>
      <c r="D263" s="587"/>
      <c r="E263" s="587"/>
      <c r="F263" s="587"/>
      <c r="G263" s="587"/>
      <c r="H263" s="2"/>
      <c r="I263" s="2"/>
    </row>
    <row r="264" spans="1:9" x14ac:dyDescent="0.25">
      <c r="A264" s="2"/>
      <c r="B264" s="2"/>
      <c r="C264" s="591" t="s">
        <v>428</v>
      </c>
      <c r="D264" s="592"/>
      <c r="E264" s="228"/>
      <c r="F264" s="229">
        <f>IF(E206=C58,H58,IF(AND(E206="-"),0))</f>
        <v>0</v>
      </c>
      <c r="G264" s="50" t="str">
        <f>IF(F80="si","kg/m",IF(AND(F80="no"),"-"))</f>
        <v>-</v>
      </c>
      <c r="H264" s="2"/>
      <c r="I264" s="2"/>
    </row>
    <row r="265" spans="1:9" x14ac:dyDescent="0.25">
      <c r="A265" s="2"/>
      <c r="B265" s="2"/>
      <c r="C265" s="591" t="s">
        <v>429</v>
      </c>
      <c r="D265" s="592"/>
      <c r="E265" s="228"/>
      <c r="F265" s="229">
        <f>IF(E207=C59,H59,IF(AND(E207="-"),0))</f>
        <v>0.39500000000000002</v>
      </c>
      <c r="G265" s="50" t="str">
        <f>IF(F81="si","kg/m",IF(AND(F81="no"),"-"))</f>
        <v>kg/m</v>
      </c>
      <c r="H265" s="2"/>
      <c r="I265" s="2"/>
    </row>
    <row r="266" spans="1:9" x14ac:dyDescent="0.25">
      <c r="A266" s="2"/>
      <c r="B266" s="2"/>
      <c r="C266" s="591" t="s">
        <v>252</v>
      </c>
      <c r="D266" s="592"/>
      <c r="E266" s="228"/>
      <c r="F266" s="229">
        <f>IF(E199=C60,H60,IF(AND(E208=C60),H60,IF(AND(E199="-"),0,IF(AND(E208="-"),0))))</f>
        <v>0.55700000000000005</v>
      </c>
      <c r="G266" s="50" t="str">
        <f>IF(F70="si","kg/m",IF(AND(F82="si"),"kg/m",IF(AND(F70="no"),"-",IF(AND(F82="no"),"-"))))</f>
        <v>kg/m</v>
      </c>
      <c r="H266" s="2"/>
      <c r="I266" s="2"/>
    </row>
    <row r="267" spans="1:9" x14ac:dyDescent="0.25">
      <c r="A267" s="2"/>
      <c r="B267" s="2"/>
      <c r="C267" s="591" t="s">
        <v>253</v>
      </c>
      <c r="D267" s="592"/>
      <c r="E267" s="228"/>
      <c r="F267" s="229">
        <f>IF(E200=C61,H61,IF(AND(E200="-"),0))</f>
        <v>0.99399999999999999</v>
      </c>
      <c r="G267" s="50" t="str">
        <f>IF(F71="si","kg/m",IF(AND(F71="no"),"-"))</f>
        <v>kg/m</v>
      </c>
      <c r="H267" s="2"/>
      <c r="I267" s="2"/>
    </row>
    <row r="268" spans="1:9" x14ac:dyDescent="0.25">
      <c r="A268" s="2"/>
      <c r="B268" s="2"/>
      <c r="C268" s="591" t="s">
        <v>254</v>
      </c>
      <c r="D268" s="592"/>
      <c r="E268" s="228"/>
      <c r="F268" s="229">
        <f>IF(E201=C62,H62,IF(AND(E201="-"),0))</f>
        <v>1.552</v>
      </c>
      <c r="G268" s="50" t="str">
        <f>IF(F72="si","kg/m",IF(AND(F72="no"),"-"))</f>
        <v>kg/m</v>
      </c>
      <c r="H268" s="2"/>
      <c r="I268" s="2"/>
    </row>
    <row r="269" spans="1:9" x14ac:dyDescent="0.25">
      <c r="A269" s="2"/>
      <c r="B269" s="2"/>
      <c r="C269" s="591" t="s">
        <v>255</v>
      </c>
      <c r="D269" s="592"/>
      <c r="E269" s="228"/>
      <c r="F269" s="229">
        <f>IF(E202=C63,H63,IF(AND(E202="-"),0))</f>
        <v>0</v>
      </c>
      <c r="G269" s="50" t="str">
        <f>IF(F73="si","kg/m",IF(AND(F73="no"),"-"))</f>
        <v>-</v>
      </c>
      <c r="H269" s="2"/>
      <c r="I269" s="2"/>
    </row>
    <row r="270" spans="1:9" x14ac:dyDescent="0.25">
      <c r="A270" s="2"/>
      <c r="B270" s="2"/>
      <c r="C270" s="591" t="s">
        <v>430</v>
      </c>
      <c r="D270" s="592"/>
      <c r="E270" s="228"/>
      <c r="F270" s="229">
        <f>IF(E203=C64,H64,IF(AND(E203="-"),0))</f>
        <v>0</v>
      </c>
      <c r="G270" s="50" t="str">
        <f>IF(F74="si","kg/m",IF(AND(F74="no"),"-"))</f>
        <v>-</v>
      </c>
      <c r="H270" s="2"/>
      <c r="I270" s="2"/>
    </row>
    <row r="271" spans="1:9" x14ac:dyDescent="0.25">
      <c r="A271" s="2"/>
      <c r="B271" s="2"/>
      <c r="C271" s="68"/>
      <c r="D271" s="2"/>
      <c r="E271" s="2"/>
      <c r="F271" s="2"/>
      <c r="G271" s="2"/>
      <c r="H271" s="2"/>
      <c r="I271" s="2"/>
    </row>
    <row r="272" spans="1:9" x14ac:dyDescent="0.25">
      <c r="A272" s="2"/>
      <c r="B272" s="22" t="s">
        <v>707</v>
      </c>
      <c r="C272" s="6"/>
      <c r="D272" s="6"/>
      <c r="E272" s="6"/>
      <c r="F272" s="6"/>
      <c r="G272" s="6"/>
      <c r="H272" s="6"/>
      <c r="I272" s="2"/>
    </row>
    <row r="273" spans="1:9" x14ac:dyDescent="0.25">
      <c r="A273" s="2"/>
      <c r="B273" s="2"/>
      <c r="C273" s="2"/>
      <c r="D273" s="25"/>
      <c r="E273" s="24" t="s">
        <v>256</v>
      </c>
      <c r="F273" s="68">
        <v>9</v>
      </c>
      <c r="G273" s="2" t="s">
        <v>257</v>
      </c>
      <c r="H273" s="2"/>
      <c r="I273" s="2"/>
    </row>
    <row r="274" spans="1:9" x14ac:dyDescent="0.25">
      <c r="A274" s="2"/>
      <c r="B274" s="2"/>
      <c r="C274" s="591" t="s">
        <v>252</v>
      </c>
      <c r="D274" s="592"/>
      <c r="E274" s="231"/>
      <c r="F274" s="232">
        <f>IF(E199=C60,((G199/F266)/9),IF(AND(E199="-"),0))</f>
        <v>29.922202274087372</v>
      </c>
      <c r="G274" s="233" t="str">
        <f>IF(F70="si","varillas",IF(AND(F70="no"),"-"))</f>
        <v>varillas</v>
      </c>
      <c r="H274" s="57"/>
      <c r="I274" s="57"/>
    </row>
    <row r="275" spans="1:9" x14ac:dyDescent="0.25">
      <c r="A275" s="2"/>
      <c r="B275" s="2"/>
      <c r="C275" s="591" t="s">
        <v>253</v>
      </c>
      <c r="D275" s="592"/>
      <c r="E275" s="228"/>
      <c r="F275" s="232">
        <f>IF(E200=C61,((G200/F267)/9),IF(AND(E200="-"),0))</f>
        <v>27.945450480661748</v>
      </c>
      <c r="G275" s="50" t="str">
        <f>IF(F71="si","varillas",IF(AND(F71="no"),"-"))</f>
        <v>varillas</v>
      </c>
      <c r="H275" s="57"/>
      <c r="I275" s="57"/>
    </row>
    <row r="276" spans="1:9" x14ac:dyDescent="0.25">
      <c r="A276" s="2"/>
      <c r="B276" s="2"/>
      <c r="C276" s="591" t="s">
        <v>254</v>
      </c>
      <c r="D276" s="592"/>
      <c r="E276" s="228"/>
      <c r="F276" s="232">
        <f>IF(E201=C62,((G201/F268)/9),IF(AND(E201="-"),0))</f>
        <v>17.898052691867125</v>
      </c>
      <c r="G276" s="50" t="str">
        <f>IF(F72="si","varillas",IF(AND(F72="no"),"-"))</f>
        <v>varillas</v>
      </c>
      <c r="H276" s="57"/>
      <c r="I276" s="57"/>
    </row>
    <row r="277" spans="1:9" x14ac:dyDescent="0.25">
      <c r="A277" s="2"/>
      <c r="B277" s="2"/>
      <c r="C277" s="787" t="s">
        <v>255</v>
      </c>
      <c r="D277" s="788"/>
      <c r="E277" s="231"/>
      <c r="F277" s="232">
        <f>IF(E202=C63,((G202/F269)/9),IF(AND(E202="-"),0))</f>
        <v>0</v>
      </c>
      <c r="G277" s="233" t="str">
        <f>IF(F73="si","varillas",IF(AND(F73="no"),"-"))</f>
        <v>-</v>
      </c>
      <c r="H277" s="57"/>
      <c r="I277" s="57"/>
    </row>
    <row r="278" spans="1:9" x14ac:dyDescent="0.25">
      <c r="A278" s="2"/>
      <c r="B278" s="2"/>
      <c r="C278" s="591" t="s">
        <v>430</v>
      </c>
      <c r="D278" s="592"/>
      <c r="E278" s="228"/>
      <c r="F278" s="146">
        <f>IF(E203=C64,((G203/F270)/9),IF(AND(E203="-"),0))</f>
        <v>0</v>
      </c>
      <c r="G278" s="50" t="str">
        <f>IF(F74="si","varillas",IF(AND(F74="no"),"-"))</f>
        <v>-</v>
      </c>
      <c r="H278" s="57"/>
      <c r="I278" s="2"/>
    </row>
    <row r="279" spans="1:9" x14ac:dyDescent="0.25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5">
      <c r="A280" s="2"/>
      <c r="B280" s="22" t="s">
        <v>708</v>
      </c>
      <c r="C280" s="6"/>
      <c r="D280" s="6"/>
      <c r="E280" s="6"/>
      <c r="F280" s="6"/>
      <c r="G280" s="6"/>
      <c r="H280" s="6"/>
      <c r="I280" s="2"/>
    </row>
    <row r="281" spans="1:9" x14ac:dyDescent="0.25">
      <c r="A281" s="2"/>
      <c r="B281" s="2"/>
      <c r="C281" s="2"/>
      <c r="D281" s="25"/>
      <c r="E281" s="24" t="s">
        <v>256</v>
      </c>
      <c r="F281" s="68">
        <v>9</v>
      </c>
      <c r="G281" s="2" t="s">
        <v>257</v>
      </c>
      <c r="H281" s="2"/>
      <c r="I281" s="2"/>
    </row>
    <row r="282" spans="1:9" x14ac:dyDescent="0.25">
      <c r="A282" s="2"/>
      <c r="B282" s="2"/>
      <c r="C282" s="591" t="s">
        <v>428</v>
      </c>
      <c r="D282" s="592"/>
      <c r="E282" s="231"/>
      <c r="F282" s="232">
        <f>IF(E206=C58,((G206/F264)/9),IF(AND(E206="-"),0))</f>
        <v>0</v>
      </c>
      <c r="G282" s="233" t="str">
        <f>IF(F80="si","varillas",IF(AND(F80="no"),"-"))</f>
        <v>-</v>
      </c>
      <c r="H282" s="57"/>
      <c r="I282" s="57"/>
    </row>
    <row r="283" spans="1:9" x14ac:dyDescent="0.25">
      <c r="A283" s="2"/>
      <c r="B283" s="2"/>
      <c r="C283" s="591" t="s">
        <v>429</v>
      </c>
      <c r="D283" s="592"/>
      <c r="E283" s="228"/>
      <c r="F283" s="232">
        <f>IF(E207=C59,((G207/F265)/9),IF(AND(E207="-"),0))</f>
        <v>84.388185654008439</v>
      </c>
      <c r="G283" s="233" t="str">
        <f>IF(F81="si","varillas",IF(AND(F81="no"),"-"))</f>
        <v>varillas</v>
      </c>
      <c r="H283" s="57"/>
      <c r="I283" s="57"/>
    </row>
    <row r="284" spans="1:9" x14ac:dyDescent="0.25">
      <c r="A284" s="2"/>
      <c r="B284" s="2"/>
      <c r="C284" s="591" t="s">
        <v>252</v>
      </c>
      <c r="D284" s="592"/>
      <c r="E284" s="228"/>
      <c r="F284" s="146">
        <f>IF(E208=C60,((G208/F266)/9),IF(AND(E208="-"),0))</f>
        <v>19.948134849391579</v>
      </c>
      <c r="G284" s="50" t="str">
        <f>IF(F82="si","varillas",IF(AND(F82="no"),"-"))</f>
        <v>varillas</v>
      </c>
      <c r="H284" s="57"/>
      <c r="I284" s="57"/>
    </row>
    <row r="285" spans="1:9" x14ac:dyDescent="0.25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5">
      <c r="A286" s="2"/>
      <c r="B286" s="22" t="s">
        <v>709</v>
      </c>
      <c r="C286" s="6"/>
      <c r="D286" s="6"/>
      <c r="E286" s="6"/>
      <c r="F286" s="6"/>
      <c r="G286" s="6"/>
      <c r="H286" s="6"/>
      <c r="I286" s="2"/>
    </row>
    <row r="287" spans="1:9" x14ac:dyDescent="0.25">
      <c r="A287" s="2"/>
      <c r="B287" s="22"/>
      <c r="C287" s="6"/>
      <c r="D287" s="6"/>
      <c r="E287" s="6"/>
      <c r="F287" s="6"/>
      <c r="G287" s="6"/>
      <c r="H287" s="6"/>
      <c r="I287" s="2"/>
    </row>
    <row r="288" spans="1:9" x14ac:dyDescent="0.25">
      <c r="A288" s="2"/>
      <c r="B288" s="537" t="s">
        <v>710</v>
      </c>
      <c r="C288" s="537"/>
      <c r="D288" s="537"/>
      <c r="E288" s="537"/>
      <c r="F288" s="537"/>
      <c r="G288" s="537"/>
      <c r="H288" s="537"/>
      <c r="I288" s="2"/>
    </row>
    <row r="289" spans="1:10" x14ac:dyDescent="0.25">
      <c r="A289" s="2"/>
      <c r="B289" s="215"/>
      <c r="C289" s="215"/>
      <c r="D289" s="543" t="s">
        <v>435</v>
      </c>
      <c r="E289" s="543"/>
      <c r="F289" s="225">
        <v>0.03</v>
      </c>
      <c r="G289" s="215"/>
      <c r="H289" s="215"/>
      <c r="I289" s="2"/>
    </row>
    <row r="290" spans="1:10" x14ac:dyDescent="0.25">
      <c r="A290" s="2"/>
      <c r="B290" s="215"/>
      <c r="C290" s="215"/>
      <c r="D290" s="543" t="s">
        <v>436</v>
      </c>
      <c r="E290" s="543"/>
      <c r="F290" s="225">
        <v>0.03</v>
      </c>
      <c r="G290" s="215"/>
      <c r="H290" s="215"/>
      <c r="I290" s="2"/>
    </row>
    <row r="291" spans="1:10" x14ac:dyDescent="0.25">
      <c r="A291" s="2"/>
      <c r="B291" s="2"/>
      <c r="C291" s="2"/>
      <c r="D291" s="25" t="s">
        <v>258</v>
      </c>
      <c r="E291" s="215"/>
      <c r="F291" s="225">
        <v>0.03</v>
      </c>
      <c r="G291" s="2"/>
      <c r="H291" s="2"/>
      <c r="I291" s="2"/>
    </row>
    <row r="292" spans="1:10" x14ac:dyDescent="0.25">
      <c r="A292" s="2"/>
      <c r="B292" s="2"/>
      <c r="C292" s="2"/>
      <c r="D292" s="25" t="s">
        <v>259</v>
      </c>
      <c r="E292" s="215"/>
      <c r="F292" s="225">
        <v>0.05</v>
      </c>
      <c r="G292" s="2"/>
      <c r="H292" s="2"/>
      <c r="I292" s="2"/>
    </row>
    <row r="293" spans="1:10" x14ac:dyDescent="0.25">
      <c r="A293" s="2"/>
      <c r="B293" s="2"/>
      <c r="C293" s="2"/>
      <c r="D293" s="25" t="s">
        <v>260</v>
      </c>
      <c r="E293" s="215"/>
      <c r="F293" s="225">
        <v>7.0000000000000007E-2</v>
      </c>
      <c r="G293" s="2"/>
      <c r="H293" s="2"/>
      <c r="I293" s="2"/>
    </row>
    <row r="294" spans="1:10" x14ac:dyDescent="0.25">
      <c r="A294" s="2"/>
      <c r="B294" s="2"/>
      <c r="C294" s="2"/>
      <c r="D294" s="25" t="s">
        <v>261</v>
      </c>
      <c r="E294" s="215"/>
      <c r="F294" s="225">
        <v>0.08</v>
      </c>
      <c r="G294" s="2"/>
      <c r="H294" s="2"/>
      <c r="I294" s="2"/>
    </row>
    <row r="295" spans="1:10" x14ac:dyDescent="0.25">
      <c r="A295" s="2"/>
      <c r="B295" s="2"/>
      <c r="C295" s="2"/>
      <c r="D295" s="25" t="s">
        <v>437</v>
      </c>
      <c r="E295" s="215"/>
      <c r="F295" s="225">
        <v>0.1</v>
      </c>
      <c r="G295" s="2"/>
      <c r="H295" s="2"/>
      <c r="I295" s="2"/>
    </row>
    <row r="296" spans="1:10" x14ac:dyDescent="0.25">
      <c r="A296" s="2"/>
      <c r="B296" s="2"/>
      <c r="C296" s="597" t="s">
        <v>428</v>
      </c>
      <c r="D296" s="598"/>
      <c r="E296" s="223"/>
      <c r="F296" s="217">
        <f>F282+F282*F289</f>
        <v>0</v>
      </c>
      <c r="G296" s="218" t="str">
        <f>G282</f>
        <v>-</v>
      </c>
      <c r="H296" s="2"/>
      <c r="I296" s="57"/>
    </row>
    <row r="297" spans="1:10" x14ac:dyDescent="0.25">
      <c r="A297" s="2"/>
      <c r="B297" s="2"/>
      <c r="C297" s="597" t="s">
        <v>429</v>
      </c>
      <c r="D297" s="598"/>
      <c r="E297" s="223"/>
      <c r="F297" s="217">
        <f>F283+F283*F290</f>
        <v>86.919831223628691</v>
      </c>
      <c r="G297" s="218" t="str">
        <f t="shared" ref="G297" si="3">G283</f>
        <v>varillas</v>
      </c>
      <c r="H297" s="2"/>
      <c r="I297" s="57"/>
    </row>
    <row r="298" spans="1:10" x14ac:dyDescent="0.25">
      <c r="A298" s="2"/>
      <c r="B298" s="2"/>
      <c r="C298" s="597" t="s">
        <v>252</v>
      </c>
      <c r="D298" s="598"/>
      <c r="E298" s="223"/>
      <c r="F298" s="217">
        <f>(F274+F284)+(F274+F284)*F291</f>
        <v>51.366447237183316</v>
      </c>
      <c r="G298" s="218" t="str">
        <f>IF(F70="si","varillas",IF(AND(F82="si"),"varillas",IF(AND(F70="no"),"-",IF(AND(F82="no"),"-"))))</f>
        <v>varillas</v>
      </c>
      <c r="H298" s="2"/>
      <c r="I298" s="57"/>
    </row>
    <row r="299" spans="1:10" x14ac:dyDescent="0.25">
      <c r="A299" s="2"/>
      <c r="B299" s="2"/>
      <c r="C299" s="597" t="s">
        <v>253</v>
      </c>
      <c r="D299" s="598"/>
      <c r="E299" s="223"/>
      <c r="F299" s="217">
        <f>F275+F275*F292</f>
        <v>29.342723004694836</v>
      </c>
      <c r="G299" s="218" t="str">
        <f>G275</f>
        <v>varillas</v>
      </c>
      <c r="H299" s="2"/>
      <c r="I299" s="57"/>
    </row>
    <row r="300" spans="1:10" x14ac:dyDescent="0.25">
      <c r="A300" s="2"/>
      <c r="B300" s="2"/>
      <c r="C300" s="597" t="s">
        <v>254</v>
      </c>
      <c r="D300" s="598"/>
      <c r="E300" s="223"/>
      <c r="F300" s="217">
        <f>F276+F276*F293</f>
        <v>19.150916380297826</v>
      </c>
      <c r="G300" s="218" t="str">
        <f t="shared" ref="G300:G302" si="4">G276</f>
        <v>varillas</v>
      </c>
      <c r="H300" s="2"/>
      <c r="I300" s="57"/>
    </row>
    <row r="301" spans="1:10" x14ac:dyDescent="0.25">
      <c r="A301" s="2"/>
      <c r="B301" s="2"/>
      <c r="C301" s="597" t="s">
        <v>255</v>
      </c>
      <c r="D301" s="598"/>
      <c r="E301" s="223"/>
      <c r="F301" s="217">
        <f>F277+F277*F294</f>
        <v>0</v>
      </c>
      <c r="G301" s="218" t="str">
        <f t="shared" si="4"/>
        <v>-</v>
      </c>
      <c r="H301" s="2"/>
      <c r="I301" s="57"/>
    </row>
    <row r="302" spans="1:10" x14ac:dyDescent="0.25">
      <c r="A302" s="2"/>
      <c r="B302" s="2"/>
      <c r="C302" s="597" t="s">
        <v>430</v>
      </c>
      <c r="D302" s="598"/>
      <c r="E302" s="223"/>
      <c r="F302" s="217">
        <f>F278+F278*F295</f>
        <v>0</v>
      </c>
      <c r="G302" s="218" t="str">
        <f t="shared" si="4"/>
        <v>-</v>
      </c>
      <c r="H302" s="2"/>
      <c r="I302" s="57"/>
    </row>
    <row r="303" spans="1:10" x14ac:dyDescent="0.25">
      <c r="A303" s="2"/>
      <c r="B303" s="2"/>
      <c r="C303" s="597" t="s">
        <v>262</v>
      </c>
      <c r="D303" s="598"/>
      <c r="E303" s="223"/>
      <c r="F303" s="217">
        <f>(F85*(F281*F282*F264+F281*F283*F265+F281*(F284+F274)*F266+F273*F275*F267+F273*F276*F268+F273*F277*F269+F273*F278*F270))*1.05</f>
        <v>55.125</v>
      </c>
      <c r="G303" s="218" t="s">
        <v>169</v>
      </c>
      <c r="H303" s="2"/>
      <c r="I303" s="57"/>
      <c r="J303" s="54"/>
    </row>
    <row r="304" spans="1:10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54"/>
    </row>
    <row r="305" spans="1:9" x14ac:dyDescent="0.25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5">
      <c r="A306" s="2"/>
      <c r="B306" s="2"/>
      <c r="C306" s="2"/>
      <c r="D306" s="2"/>
      <c r="E306" s="2"/>
      <c r="F306" s="2"/>
      <c r="G306" s="2"/>
      <c r="H306" s="2"/>
      <c r="I306" s="2"/>
    </row>
    <row r="307" spans="1:9" ht="15.75" x14ac:dyDescent="0.25">
      <c r="A307" s="786" t="s">
        <v>263</v>
      </c>
      <c r="B307" s="786"/>
      <c r="C307" s="786"/>
      <c r="D307" s="786"/>
      <c r="E307" s="2"/>
      <c r="F307" s="2"/>
      <c r="G307" s="2"/>
      <c r="H307" s="2"/>
      <c r="I307" s="2"/>
    </row>
    <row r="308" spans="1:9" x14ac:dyDescent="0.25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5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5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5">
      <c r="A311" s="2"/>
      <c r="B311" s="2"/>
      <c r="C311" s="2"/>
      <c r="D311" s="596" t="s">
        <v>44</v>
      </c>
      <c r="E311" s="596"/>
      <c r="F311" s="161">
        <f>C97</f>
        <v>8</v>
      </c>
      <c r="G311" s="25" t="s">
        <v>7</v>
      </c>
      <c r="H311" s="2"/>
      <c r="I311" s="2"/>
    </row>
    <row r="312" spans="1:9" x14ac:dyDescent="0.25">
      <c r="A312" s="2"/>
      <c r="B312" s="2"/>
      <c r="C312" s="2"/>
      <c r="D312" s="68"/>
      <c r="E312" s="68"/>
      <c r="F312" s="68"/>
      <c r="G312" s="2"/>
      <c r="H312" s="2"/>
      <c r="I312" s="2"/>
    </row>
    <row r="313" spans="1:9" ht="15.75" x14ac:dyDescent="0.25">
      <c r="A313" s="2"/>
      <c r="B313" s="22" t="s">
        <v>711</v>
      </c>
      <c r="C313" s="2"/>
      <c r="D313" s="2"/>
      <c r="E313" s="2"/>
      <c r="F313" s="2"/>
      <c r="G313" s="2"/>
      <c r="H313" s="2"/>
      <c r="I313" s="2"/>
    </row>
    <row r="314" spans="1:9" ht="15.75" x14ac:dyDescent="0.25">
      <c r="A314" s="2"/>
      <c r="B314" s="2"/>
      <c r="C314" s="499" t="s">
        <v>45</v>
      </c>
      <c r="D314" s="499"/>
      <c r="E314" s="68">
        <f>B101</f>
        <v>9</v>
      </c>
      <c r="F314" s="2" t="s">
        <v>166</v>
      </c>
      <c r="G314" s="2"/>
      <c r="H314" s="2"/>
      <c r="I314" s="2"/>
    </row>
    <row r="315" spans="1:9" x14ac:dyDescent="0.25">
      <c r="A315" s="2"/>
      <c r="B315" s="2"/>
      <c r="C315" s="500" t="s">
        <v>46</v>
      </c>
      <c r="D315" s="501"/>
      <c r="E315" s="504" t="s">
        <v>47</v>
      </c>
      <c r="F315" s="505" t="s">
        <v>48</v>
      </c>
      <c r="G315" s="507" t="s">
        <v>49</v>
      </c>
      <c r="H315" s="2"/>
      <c r="I315" s="2"/>
    </row>
    <row r="316" spans="1:9" x14ac:dyDescent="0.25">
      <c r="A316" s="2"/>
      <c r="B316" s="2"/>
      <c r="C316" s="502"/>
      <c r="D316" s="503"/>
      <c r="E316" s="504"/>
      <c r="F316" s="506"/>
      <c r="G316" s="507"/>
      <c r="H316" s="2"/>
      <c r="I316" s="2"/>
    </row>
    <row r="317" spans="1:9" x14ac:dyDescent="0.25">
      <c r="A317" s="2"/>
      <c r="B317" s="2"/>
      <c r="C317" s="608" t="s">
        <v>712</v>
      </c>
      <c r="D317" s="609"/>
      <c r="E317" s="69" t="s">
        <v>11</v>
      </c>
      <c r="F317" s="70">
        <f>D101</f>
        <v>0.2</v>
      </c>
      <c r="G317" s="71">
        <f>(F317*F311)/E314</f>
        <v>0.17777777777777778</v>
      </c>
      <c r="H317" s="2"/>
      <c r="I317" s="2"/>
    </row>
    <row r="318" spans="1:9" x14ac:dyDescent="0.25">
      <c r="A318" s="2"/>
      <c r="B318" s="2"/>
      <c r="C318" s="610"/>
      <c r="D318" s="611"/>
      <c r="E318" s="69" t="s">
        <v>12</v>
      </c>
      <c r="F318" s="70">
        <f>E101</f>
        <v>2</v>
      </c>
      <c r="G318" s="71">
        <f>(F318*F311)/E314</f>
        <v>1.7777777777777777</v>
      </c>
      <c r="H318" s="2"/>
      <c r="I318" s="2"/>
    </row>
    <row r="319" spans="1:9" x14ac:dyDescent="0.25">
      <c r="A319" s="2"/>
      <c r="B319" s="2"/>
      <c r="C319" s="234" t="s">
        <v>308</v>
      </c>
      <c r="D319" s="235">
        <f>E31</f>
        <v>210</v>
      </c>
      <c r="E319" s="69" t="s">
        <v>13</v>
      </c>
      <c r="F319" s="70">
        <f>F101</f>
        <v>2</v>
      </c>
      <c r="G319" s="71">
        <f>(F319*F311)/E314</f>
        <v>1.7777777777777777</v>
      </c>
      <c r="H319" s="2"/>
      <c r="I319" s="2"/>
    </row>
    <row r="320" spans="1:9" ht="15.75" customHeight="1" x14ac:dyDescent="0.25">
      <c r="A320" s="2"/>
      <c r="B320" s="2"/>
      <c r="C320" s="606" t="s">
        <v>309</v>
      </c>
      <c r="D320" s="607"/>
      <c r="E320" s="69" t="s">
        <v>14</v>
      </c>
      <c r="F320" s="70">
        <f>G101</f>
        <v>8</v>
      </c>
      <c r="G320" s="71">
        <f>(F320*F311)/E314</f>
        <v>7.1111111111111107</v>
      </c>
      <c r="H320" s="2"/>
      <c r="I320" s="2"/>
    </row>
    <row r="321" spans="1:9" x14ac:dyDescent="0.25">
      <c r="A321" s="2"/>
      <c r="B321" s="2"/>
      <c r="C321" s="612"/>
      <c r="D321" s="613"/>
      <c r="E321" s="69" t="s">
        <v>50</v>
      </c>
      <c r="F321" s="70">
        <f>H101</f>
        <v>1</v>
      </c>
      <c r="G321" s="71">
        <f>(F321*F311/E314)</f>
        <v>0.88888888888888884</v>
      </c>
      <c r="H321" s="2"/>
      <c r="I321" s="2"/>
    </row>
    <row r="322" spans="1:9" x14ac:dyDescent="0.25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5">
      <c r="A323" s="2"/>
      <c r="B323" s="2"/>
      <c r="C323" s="2"/>
      <c r="D323" s="2"/>
      <c r="E323" s="2"/>
      <c r="F323" s="2"/>
      <c r="G323" s="2"/>
      <c r="H323" s="2"/>
      <c r="I323" s="2"/>
    </row>
    <row r="324" spans="1:9" ht="15.75" x14ac:dyDescent="0.25">
      <c r="A324" s="2"/>
      <c r="B324" s="22" t="s">
        <v>713</v>
      </c>
      <c r="C324" s="2"/>
      <c r="D324" s="2"/>
      <c r="E324" s="2"/>
      <c r="F324" s="2"/>
      <c r="G324" s="2"/>
      <c r="H324" s="2"/>
      <c r="I324" s="2"/>
    </row>
    <row r="325" spans="1:9" ht="15.75" x14ac:dyDescent="0.25">
      <c r="A325" s="2"/>
      <c r="B325" s="2"/>
      <c r="C325" s="499" t="s">
        <v>45</v>
      </c>
      <c r="D325" s="499"/>
      <c r="E325" s="68">
        <f>B103</f>
        <v>14</v>
      </c>
      <c r="F325" s="2" t="s">
        <v>310</v>
      </c>
      <c r="G325" s="2"/>
      <c r="H325" s="2"/>
      <c r="I325" s="2"/>
    </row>
    <row r="326" spans="1:9" x14ac:dyDescent="0.25">
      <c r="A326" s="2"/>
      <c r="B326" s="2"/>
      <c r="C326" s="500" t="s">
        <v>46</v>
      </c>
      <c r="D326" s="501"/>
      <c r="E326" s="504" t="s">
        <v>47</v>
      </c>
      <c r="F326" s="505" t="s">
        <v>48</v>
      </c>
      <c r="G326" s="507" t="s">
        <v>49</v>
      </c>
      <c r="H326" s="2"/>
      <c r="I326" s="2"/>
    </row>
    <row r="327" spans="1:9" x14ac:dyDescent="0.25">
      <c r="A327" s="2"/>
      <c r="B327" s="2"/>
      <c r="C327" s="502"/>
      <c r="D327" s="503"/>
      <c r="E327" s="504"/>
      <c r="F327" s="506"/>
      <c r="G327" s="507"/>
      <c r="H327" s="2"/>
      <c r="I327" s="2"/>
    </row>
    <row r="328" spans="1:9" x14ac:dyDescent="0.25">
      <c r="A328" s="2"/>
      <c r="B328" s="2"/>
      <c r="C328" s="508" t="s">
        <v>714</v>
      </c>
      <c r="D328" s="509"/>
      <c r="E328" s="69" t="s">
        <v>11</v>
      </c>
      <c r="F328" s="70">
        <f>D103</f>
        <v>0.1</v>
      </c>
      <c r="G328" s="71">
        <f>(F328*F311)/E325</f>
        <v>5.7142857142857148E-2</v>
      </c>
      <c r="H328" s="2"/>
      <c r="I328" s="2"/>
    </row>
    <row r="329" spans="1:9" x14ac:dyDescent="0.25">
      <c r="A329" s="2"/>
      <c r="B329" s="2"/>
      <c r="C329" s="606"/>
      <c r="D329" s="607"/>
      <c r="E329" s="69" t="s">
        <v>12</v>
      </c>
      <c r="F329" s="70">
        <f>E103</f>
        <v>1</v>
      </c>
      <c r="G329" s="71">
        <f>(F329*F311)/E325</f>
        <v>0.5714285714285714</v>
      </c>
      <c r="H329" s="2"/>
      <c r="I329" s="2"/>
    </row>
    <row r="330" spans="1:9" x14ac:dyDescent="0.25">
      <c r="A330" s="2"/>
      <c r="B330" s="2"/>
      <c r="C330" s="606"/>
      <c r="D330" s="607"/>
      <c r="E330" s="69" t="s">
        <v>13</v>
      </c>
      <c r="F330" s="70">
        <f>F103</f>
        <v>1</v>
      </c>
      <c r="G330" s="71">
        <f>(F330*F311)/E325</f>
        <v>0.5714285714285714</v>
      </c>
      <c r="H330" s="2"/>
      <c r="I330" s="2"/>
    </row>
    <row r="331" spans="1:9" ht="15.75" customHeight="1" x14ac:dyDescent="0.25">
      <c r="A331" s="2"/>
      <c r="B331" s="2"/>
      <c r="C331" s="510"/>
      <c r="D331" s="511"/>
      <c r="E331" s="69" t="s">
        <v>14</v>
      </c>
      <c r="F331" s="70">
        <f>G103</f>
        <v>2</v>
      </c>
      <c r="G331" s="71">
        <f>(F331*F311)/E325</f>
        <v>1.1428571428571428</v>
      </c>
      <c r="H331" s="2"/>
      <c r="I331" s="2"/>
    </row>
    <row r="332" spans="1:9" x14ac:dyDescent="0.25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5">
      <c r="A333" s="2"/>
      <c r="B333" s="2"/>
      <c r="C333" s="2"/>
      <c r="D333" s="2"/>
      <c r="E333" s="2"/>
      <c r="F333" s="2"/>
      <c r="G333" s="2"/>
      <c r="H333" s="2"/>
      <c r="I333" s="2"/>
    </row>
    <row r="334" spans="1:9" x14ac:dyDescent="0.25">
      <c r="A334" s="2"/>
      <c r="B334" s="22" t="s">
        <v>311</v>
      </c>
      <c r="C334" s="2"/>
      <c r="D334" s="2"/>
      <c r="E334" s="2"/>
      <c r="F334" s="2"/>
      <c r="G334" s="2"/>
      <c r="H334" s="2"/>
      <c r="I334" s="2"/>
    </row>
    <row r="335" spans="1:9" ht="15.75" x14ac:dyDescent="0.25">
      <c r="A335" s="2"/>
      <c r="B335" s="2"/>
      <c r="C335" s="499" t="s">
        <v>45</v>
      </c>
      <c r="D335" s="499"/>
      <c r="E335" s="68">
        <f>B105</f>
        <v>250</v>
      </c>
      <c r="F335" s="236" t="s">
        <v>228</v>
      </c>
      <c r="G335" s="2"/>
      <c r="H335" s="2"/>
      <c r="I335" s="2"/>
    </row>
    <row r="336" spans="1:9" x14ac:dyDescent="0.25">
      <c r="A336" s="2"/>
      <c r="B336" s="2"/>
      <c r="C336" s="500" t="s">
        <v>46</v>
      </c>
      <c r="D336" s="501"/>
      <c r="E336" s="504" t="s">
        <v>47</v>
      </c>
      <c r="F336" s="505" t="s">
        <v>48</v>
      </c>
      <c r="G336" s="507" t="s">
        <v>49</v>
      </c>
      <c r="H336" s="2"/>
      <c r="I336" s="2"/>
    </row>
    <row r="337" spans="1:9" x14ac:dyDescent="0.25">
      <c r="A337" s="2"/>
      <c r="B337" s="2"/>
      <c r="C337" s="502"/>
      <c r="D337" s="503"/>
      <c r="E337" s="504"/>
      <c r="F337" s="506"/>
      <c r="G337" s="507"/>
      <c r="H337" s="2"/>
      <c r="I337" s="2"/>
    </row>
    <row r="338" spans="1:9" x14ac:dyDescent="0.25">
      <c r="A338" s="2"/>
      <c r="B338" s="2"/>
      <c r="C338" s="508" t="s">
        <v>312</v>
      </c>
      <c r="D338" s="509"/>
      <c r="E338" s="69" t="s">
        <v>11</v>
      </c>
      <c r="F338" s="70">
        <f>D105</f>
        <v>0.1</v>
      </c>
      <c r="G338" s="71">
        <f>(F338*F311)/E335</f>
        <v>3.2000000000000002E-3</v>
      </c>
      <c r="H338" s="2"/>
      <c r="I338" s="2"/>
    </row>
    <row r="339" spans="1:9" x14ac:dyDescent="0.25">
      <c r="A339" s="2"/>
      <c r="B339" s="2"/>
      <c r="C339" s="606"/>
      <c r="D339" s="607"/>
      <c r="E339" s="69" t="s">
        <v>12</v>
      </c>
      <c r="F339" s="70">
        <f>E105</f>
        <v>1</v>
      </c>
      <c r="G339" s="71">
        <f>(F339*F311)/E335</f>
        <v>3.2000000000000001E-2</v>
      </c>
      <c r="H339" s="2"/>
      <c r="I339" s="2"/>
    </row>
    <row r="340" spans="1:9" x14ac:dyDescent="0.25">
      <c r="A340" s="2"/>
      <c r="B340" s="2"/>
      <c r="C340" s="606"/>
      <c r="D340" s="607"/>
      <c r="E340" s="69" t="s">
        <v>13</v>
      </c>
      <c r="F340" s="70">
        <f>F105</f>
        <v>1</v>
      </c>
      <c r="G340" s="71">
        <f>(F340*F311)/E335</f>
        <v>3.2000000000000001E-2</v>
      </c>
      <c r="H340" s="2"/>
      <c r="I340" s="2"/>
    </row>
    <row r="341" spans="1:9" ht="15.75" customHeight="1" x14ac:dyDescent="0.25">
      <c r="A341" s="2"/>
      <c r="B341" s="2"/>
      <c r="C341" s="510"/>
      <c r="D341" s="511"/>
      <c r="E341" s="69" t="s">
        <v>14</v>
      </c>
      <c r="F341" s="70">
        <f>G105</f>
        <v>1</v>
      </c>
      <c r="G341" s="71">
        <f>(F341*F311)/E335</f>
        <v>3.2000000000000001E-2</v>
      </c>
      <c r="H341" s="2"/>
      <c r="I341" s="2"/>
    </row>
    <row r="342" spans="1:9" x14ac:dyDescent="0.25">
      <c r="A342" s="2"/>
      <c r="B342" s="2"/>
      <c r="C342" s="2"/>
      <c r="D342" s="2"/>
      <c r="E342" s="2"/>
      <c r="F342" s="2"/>
      <c r="G342" s="2"/>
      <c r="H342" s="2"/>
      <c r="I342" s="2"/>
    </row>
    <row r="343" spans="1:9" x14ac:dyDescent="0.25">
      <c r="A343" s="2"/>
      <c r="B343" s="2"/>
      <c r="C343" s="2"/>
      <c r="D343" s="2"/>
      <c r="E343" s="2"/>
      <c r="F343" s="2"/>
      <c r="G343" s="2"/>
      <c r="H343" s="2"/>
      <c r="I343" s="2"/>
    </row>
    <row r="344" spans="1:9" x14ac:dyDescent="0.25">
      <c r="A344" s="2"/>
      <c r="B344" s="2"/>
      <c r="C344" s="2"/>
      <c r="D344" s="2"/>
      <c r="E344" s="2"/>
      <c r="F344" s="2"/>
      <c r="G344" s="2"/>
      <c r="H344" s="2"/>
      <c r="I344" s="2"/>
    </row>
    <row r="345" spans="1:9" ht="15.75" x14ac:dyDescent="0.25">
      <c r="A345" s="403" t="s">
        <v>51</v>
      </c>
      <c r="B345" s="399"/>
      <c r="C345" s="399"/>
      <c r="D345" s="401"/>
      <c r="E345" s="2"/>
      <c r="F345" s="2"/>
      <c r="G345" s="2"/>
      <c r="H345" s="2"/>
      <c r="I345" s="2"/>
    </row>
    <row r="346" spans="1:9" x14ac:dyDescent="0.25">
      <c r="A346" s="2"/>
      <c r="B346" s="2"/>
      <c r="C346" s="2"/>
      <c r="D346" s="2"/>
      <c r="E346" s="2"/>
      <c r="F346" s="2"/>
      <c r="G346" s="2"/>
      <c r="H346" s="2"/>
      <c r="I346" s="2"/>
    </row>
    <row r="347" spans="1:9" ht="15.75" x14ac:dyDescent="0.25">
      <c r="A347" s="2"/>
      <c r="B347" s="22" t="s">
        <v>715</v>
      </c>
      <c r="C347" s="2"/>
      <c r="D347" s="2"/>
      <c r="E347" s="2"/>
      <c r="F347" s="2"/>
      <c r="G347" s="2"/>
      <c r="H347" s="2"/>
      <c r="I347" s="2"/>
    </row>
    <row r="348" spans="1:9" ht="15.75" x14ac:dyDescent="0.25">
      <c r="A348" s="2"/>
      <c r="B348" s="2"/>
      <c r="C348" s="499" t="s">
        <v>45</v>
      </c>
      <c r="D348" s="499"/>
      <c r="E348" s="68">
        <f>B101</f>
        <v>9</v>
      </c>
      <c r="F348" s="2" t="s">
        <v>166</v>
      </c>
      <c r="G348" s="2"/>
      <c r="H348" s="2"/>
      <c r="I348" s="2"/>
    </row>
    <row r="349" spans="1:9" x14ac:dyDescent="0.25">
      <c r="A349" s="2"/>
      <c r="B349" s="2"/>
      <c r="C349" s="500" t="s">
        <v>46</v>
      </c>
      <c r="D349" s="501"/>
      <c r="E349" s="504" t="s">
        <v>52</v>
      </c>
      <c r="F349" s="505" t="s">
        <v>48</v>
      </c>
      <c r="G349" s="507" t="s">
        <v>53</v>
      </c>
      <c r="H349" s="2"/>
      <c r="I349" s="2"/>
    </row>
    <row r="350" spans="1:9" x14ac:dyDescent="0.25">
      <c r="A350" s="2"/>
      <c r="B350" s="2"/>
      <c r="C350" s="502"/>
      <c r="D350" s="503"/>
      <c r="E350" s="504"/>
      <c r="F350" s="506"/>
      <c r="G350" s="507"/>
      <c r="H350" s="2"/>
      <c r="I350" s="2"/>
    </row>
    <row r="351" spans="1:9" ht="18.75" customHeight="1" x14ac:dyDescent="0.25">
      <c r="A351" s="2"/>
      <c r="B351" s="2"/>
      <c r="C351" s="608" t="s">
        <v>712</v>
      </c>
      <c r="D351" s="609"/>
      <c r="E351" s="637" t="s">
        <v>264</v>
      </c>
      <c r="F351" s="514">
        <f>F113</f>
        <v>1</v>
      </c>
      <c r="G351" s="516">
        <f>(F351*F311)/E348</f>
        <v>0.88888888888888884</v>
      </c>
      <c r="H351" s="2"/>
      <c r="I351" s="2"/>
    </row>
    <row r="352" spans="1:9" ht="18.75" customHeight="1" x14ac:dyDescent="0.25">
      <c r="A352" s="2"/>
      <c r="B352" s="2"/>
      <c r="C352" s="610"/>
      <c r="D352" s="611"/>
      <c r="E352" s="638"/>
      <c r="F352" s="515"/>
      <c r="G352" s="517"/>
      <c r="H352" s="2"/>
      <c r="I352" s="2"/>
    </row>
    <row r="353" spans="1:12" ht="21" customHeight="1" x14ac:dyDescent="0.25">
      <c r="A353" s="2"/>
      <c r="B353" s="2"/>
      <c r="C353" s="237" t="s">
        <v>308</v>
      </c>
      <c r="D353" s="235">
        <f>E31</f>
        <v>210</v>
      </c>
      <c r="E353" s="637" t="s">
        <v>54</v>
      </c>
      <c r="F353" s="514">
        <f>F114</f>
        <v>1</v>
      </c>
      <c r="G353" s="516">
        <f>(F353*F311)/E348</f>
        <v>0.88888888888888884</v>
      </c>
      <c r="H353" s="2"/>
      <c r="I353" s="2"/>
    </row>
    <row r="354" spans="1:12" ht="19.5" customHeight="1" x14ac:dyDescent="0.25">
      <c r="A354" s="2"/>
      <c r="B354" s="2"/>
      <c r="C354" s="639" t="s">
        <v>309</v>
      </c>
      <c r="D354" s="640"/>
      <c r="E354" s="638"/>
      <c r="F354" s="515"/>
      <c r="G354" s="517"/>
      <c r="H354" s="2"/>
      <c r="I354" s="2"/>
    </row>
    <row r="355" spans="1:12" x14ac:dyDescent="0.25">
      <c r="A355" s="2"/>
      <c r="B355" s="2"/>
      <c r="C355" s="2"/>
      <c r="D355" s="2"/>
      <c r="E355" s="2"/>
      <c r="F355" s="2"/>
      <c r="G355" s="2"/>
      <c r="H355" s="2"/>
      <c r="I355" s="2"/>
    </row>
    <row r="356" spans="1:12" x14ac:dyDescent="0.25">
      <c r="A356" s="2"/>
      <c r="B356" s="2"/>
      <c r="C356" s="2"/>
      <c r="D356" s="2"/>
      <c r="E356" s="2"/>
      <c r="F356" s="2"/>
      <c r="G356" s="2"/>
      <c r="H356" s="2"/>
      <c r="I356" s="2"/>
    </row>
    <row r="357" spans="1:12" x14ac:dyDescent="0.25">
      <c r="A357" s="2"/>
      <c r="B357" s="2"/>
      <c r="C357" s="2"/>
      <c r="D357" s="2"/>
      <c r="E357" s="2"/>
      <c r="F357" s="2"/>
      <c r="G357" s="2"/>
      <c r="H357" s="2"/>
      <c r="I357" s="2"/>
    </row>
    <row r="358" spans="1:12" ht="15.75" x14ac:dyDescent="0.25">
      <c r="A358" s="403" t="s">
        <v>265</v>
      </c>
      <c r="B358" s="401"/>
      <c r="C358" s="401"/>
      <c r="D358" s="401"/>
      <c r="E358" s="2"/>
      <c r="F358" s="2"/>
      <c r="G358" s="2"/>
      <c r="H358" s="2"/>
      <c r="I358" s="2"/>
    </row>
    <row r="359" spans="1:12" x14ac:dyDescent="0.25">
      <c r="A359" s="22"/>
      <c r="B359" s="2"/>
      <c r="C359" s="2"/>
      <c r="D359" s="2"/>
      <c r="E359" s="2"/>
      <c r="F359" s="2"/>
      <c r="G359" s="2"/>
      <c r="H359" s="2"/>
      <c r="I359" s="2"/>
    </row>
    <row r="360" spans="1:12" ht="15.75" x14ac:dyDescent="0.25">
      <c r="A360" s="153"/>
      <c r="B360" s="153"/>
      <c r="C360" s="153"/>
      <c r="D360" s="153"/>
      <c r="E360" s="2"/>
      <c r="F360" s="2"/>
      <c r="G360" s="2"/>
      <c r="H360" s="2"/>
      <c r="I360" s="2"/>
    </row>
    <row r="361" spans="1:12" ht="15.75" customHeight="1" x14ac:dyDescent="0.25">
      <c r="A361" s="2"/>
      <c r="B361" s="2"/>
      <c r="C361" s="455" t="s">
        <v>171</v>
      </c>
      <c r="D361" s="455"/>
      <c r="E361" s="456" t="str">
        <f>IF(D183="SI","MAYOR A 50 UIT",IF(AND(D183="NO"),"MENOR A 50 UIT"))</f>
        <v>MAYOR A 50 UIT</v>
      </c>
      <c r="F361" s="456"/>
      <c r="G361" s="31"/>
      <c r="H361" s="31"/>
      <c r="I361" s="31"/>
      <c r="J361" s="154"/>
    </row>
    <row r="362" spans="1:12" ht="15.75" customHeight="1" x14ac:dyDescent="0.25">
      <c r="A362" s="2"/>
      <c r="B362" s="2"/>
      <c r="C362" s="455" t="s">
        <v>172</v>
      </c>
      <c r="D362" s="455"/>
      <c r="E362" s="6" t="str">
        <f>IF(E149="Incluido IGV","INCLUIDO IGV",IF(AND(E149="Sin IGV"),"SIN IGV"))</f>
        <v>SIN IGV</v>
      </c>
      <c r="F362" s="25"/>
      <c r="G362" s="2"/>
      <c r="H362" s="2"/>
      <c r="I362" s="2"/>
      <c r="K362" s="154"/>
      <c r="L362" s="154"/>
    </row>
    <row r="363" spans="1:12" ht="15.75" customHeight="1" x14ac:dyDescent="0.25">
      <c r="A363" s="2"/>
      <c r="B363" s="2"/>
      <c r="C363" s="77"/>
      <c r="D363" s="77"/>
      <c r="E363" s="4"/>
      <c r="F363" s="2"/>
      <c r="G363" s="2"/>
      <c r="H363" s="2"/>
      <c r="I363" s="2"/>
    </row>
    <row r="364" spans="1:12" x14ac:dyDescent="0.25">
      <c r="A364" s="22"/>
      <c r="B364" s="2"/>
      <c r="C364" s="2"/>
      <c r="D364" s="2"/>
      <c r="E364" s="2"/>
      <c r="F364" s="2"/>
      <c r="G364" s="2"/>
      <c r="H364" s="2"/>
      <c r="I364" s="2"/>
    </row>
    <row r="365" spans="1:12" x14ac:dyDescent="0.25">
      <c r="A365" s="495" t="s">
        <v>56</v>
      </c>
      <c r="B365" s="495"/>
      <c r="C365" s="518" t="s">
        <v>716</v>
      </c>
      <c r="D365" s="518"/>
      <c r="E365" s="518"/>
      <c r="F365" s="238">
        <f>E31</f>
        <v>210</v>
      </c>
      <c r="G365" s="239" t="s">
        <v>193</v>
      </c>
      <c r="H365" s="2"/>
      <c r="I365" s="2"/>
    </row>
    <row r="366" spans="1:12" ht="15.75" x14ac:dyDescent="0.25">
      <c r="A366" s="2"/>
      <c r="B366" s="2"/>
      <c r="C366" s="32" t="s">
        <v>57</v>
      </c>
      <c r="D366" s="68">
        <f>B101</f>
        <v>9</v>
      </c>
      <c r="E366" s="2" t="s">
        <v>168</v>
      </c>
      <c r="F366" s="2"/>
      <c r="G366" s="2"/>
      <c r="H366" s="2"/>
      <c r="I366" s="2"/>
    </row>
    <row r="367" spans="1:12" ht="15.75" x14ac:dyDescent="0.25">
      <c r="A367" s="2"/>
      <c r="B367" s="2"/>
      <c r="C367" s="32" t="s">
        <v>58</v>
      </c>
      <c r="D367" s="76" t="s">
        <v>42</v>
      </c>
      <c r="E367" s="2"/>
      <c r="F367" s="77"/>
      <c r="G367" s="77" t="s">
        <v>59</v>
      </c>
      <c r="H367" s="78">
        <f>H370+H376+H383</f>
        <v>491.77400855512246</v>
      </c>
      <c r="I367" s="2"/>
    </row>
    <row r="368" spans="1:12" x14ac:dyDescent="0.25">
      <c r="A368" s="497"/>
      <c r="B368" s="497"/>
      <c r="C368" s="26" t="s">
        <v>60</v>
      </c>
      <c r="D368" s="26" t="s">
        <v>61</v>
      </c>
      <c r="E368" s="26" t="s">
        <v>62</v>
      </c>
      <c r="F368" s="26" t="s">
        <v>63</v>
      </c>
      <c r="G368" s="497" t="s">
        <v>64</v>
      </c>
      <c r="H368" s="497"/>
      <c r="I368" s="2"/>
      <c r="K368" s="80"/>
    </row>
    <row r="369" spans="1:11" x14ac:dyDescent="0.25">
      <c r="A369" s="470" t="s">
        <v>65</v>
      </c>
      <c r="B369" s="470"/>
      <c r="C369" s="470"/>
      <c r="D369" s="470"/>
      <c r="E369" s="470"/>
      <c r="F369" s="470"/>
      <c r="G369" s="498"/>
      <c r="H369" s="498"/>
      <c r="I369" s="2"/>
    </row>
    <row r="370" spans="1:11" x14ac:dyDescent="0.25">
      <c r="A370" s="469" t="s">
        <v>66</v>
      </c>
      <c r="B370" s="469"/>
      <c r="C370" s="11" t="s">
        <v>67</v>
      </c>
      <c r="D370" s="81">
        <f>G317</f>
        <v>0.17777777777777778</v>
      </c>
      <c r="E370" s="12">
        <f>IF(D183="SI",G172,IF(AND(D183="NO"),((E158*1.1)/8)))</f>
        <v>26.646464625</v>
      </c>
      <c r="F370" s="82">
        <f>D370*E370</f>
        <v>4.737149266666667</v>
      </c>
      <c r="G370" s="473" t="s">
        <v>24</v>
      </c>
      <c r="H370" s="475">
        <f>F370+F371+F372+F373+F374</f>
        <v>227.95851122222217</v>
      </c>
      <c r="I370" s="2"/>
    </row>
    <row r="371" spans="1:11" x14ac:dyDescent="0.25">
      <c r="A371" s="469" t="s">
        <v>68</v>
      </c>
      <c r="B371" s="469"/>
      <c r="C371" s="11" t="s">
        <v>67</v>
      </c>
      <c r="D371" s="81">
        <f>G318</f>
        <v>1.7777777777777777</v>
      </c>
      <c r="E371" s="12">
        <f>IF(D183="SI",G173,IF(AND(D183="NO"),(E158/8)))</f>
        <v>24.224058749999998</v>
      </c>
      <c r="F371" s="82">
        <f t="shared" ref="F371:F374" si="5">D371*E371</f>
        <v>43.064993333333327</v>
      </c>
      <c r="G371" s="519"/>
      <c r="H371" s="520"/>
      <c r="I371" s="2"/>
    </row>
    <row r="372" spans="1:11" x14ac:dyDescent="0.25">
      <c r="A372" s="469" t="s">
        <v>69</v>
      </c>
      <c r="B372" s="469"/>
      <c r="C372" s="11" t="s">
        <v>67</v>
      </c>
      <c r="D372" s="81">
        <f>G319</f>
        <v>1.7777777777777777</v>
      </c>
      <c r="E372" s="12">
        <f>IF(D183="SI",G174,IF(AND(D183="NO"),(F158/8)))</f>
        <v>19.121340624999998</v>
      </c>
      <c r="F372" s="82">
        <f t="shared" si="5"/>
        <v>33.993494444444437</v>
      </c>
      <c r="G372" s="519"/>
      <c r="H372" s="520"/>
      <c r="I372" s="2"/>
    </row>
    <row r="373" spans="1:11" x14ac:dyDescent="0.25">
      <c r="A373" s="469" t="s">
        <v>70</v>
      </c>
      <c r="B373" s="469"/>
      <c r="C373" s="11" t="s">
        <v>67</v>
      </c>
      <c r="D373" s="81">
        <f>G320</f>
        <v>7.1111111111111107</v>
      </c>
      <c r="E373" s="12">
        <f>IF(D183="SI",G175,IF(AND(D183="NO"),(G158/8)))</f>
        <v>17.283906249999998</v>
      </c>
      <c r="F373" s="82">
        <f t="shared" si="5"/>
        <v>122.90777777777775</v>
      </c>
      <c r="G373" s="519"/>
      <c r="H373" s="520"/>
      <c r="I373" s="2"/>
    </row>
    <row r="374" spans="1:11" x14ac:dyDescent="0.25">
      <c r="A374" s="477" t="s">
        <v>266</v>
      </c>
      <c r="B374" s="478"/>
      <c r="C374" s="11" t="s">
        <v>67</v>
      </c>
      <c r="D374" s="81">
        <f>G321</f>
        <v>0.88888888888888884</v>
      </c>
      <c r="E374" s="12">
        <f>IF(D183="SI",G177,IF(AND(D183="NO"),((E158*1.08)/8)))</f>
        <v>26.161983449999997</v>
      </c>
      <c r="F374" s="82">
        <f t="shared" si="5"/>
        <v>23.255096399999996</v>
      </c>
      <c r="G374" s="474"/>
      <c r="H374" s="476"/>
      <c r="I374" s="2"/>
    </row>
    <row r="375" spans="1:11" x14ac:dyDescent="0.25">
      <c r="A375" s="470" t="s">
        <v>72</v>
      </c>
      <c r="B375" s="470"/>
      <c r="C375" s="470"/>
      <c r="D375" s="470"/>
      <c r="E375" s="470"/>
      <c r="F375" s="470"/>
      <c r="G375" s="471"/>
      <c r="H375" s="471"/>
      <c r="I375" s="2"/>
    </row>
    <row r="376" spans="1:11" x14ac:dyDescent="0.25">
      <c r="A376" s="469" t="s">
        <v>73</v>
      </c>
      <c r="B376" s="469"/>
      <c r="C376" s="11" t="s">
        <v>74</v>
      </c>
      <c r="D376" s="12">
        <f>F227</f>
        <v>9.73</v>
      </c>
      <c r="E376" s="12">
        <f>IF(E149="Incluido IGV",F124,IF(AND(E149="Sin IGV"),H124))</f>
        <v>18.64406779661017</v>
      </c>
      <c r="F376" s="82">
        <f>D376*E376</f>
        <v>181.40677966101697</v>
      </c>
      <c r="G376" s="473" t="s">
        <v>24</v>
      </c>
      <c r="H376" s="475">
        <f>F376+F377+F378+F379+F380+F381</f>
        <v>240.40423728813565</v>
      </c>
      <c r="I376" s="2"/>
    </row>
    <row r="377" spans="1:11" ht="15.75" x14ac:dyDescent="0.25">
      <c r="A377" s="469" t="s">
        <v>267</v>
      </c>
      <c r="B377" s="469"/>
      <c r="C377" s="11" t="s">
        <v>76</v>
      </c>
      <c r="D377" s="12">
        <f>F228</f>
        <v>0.52</v>
      </c>
      <c r="E377" s="12">
        <f>IF(E149="Incluido IGV",F125,IF(AND(E149="Sin IGV"),H125))</f>
        <v>50.847457627118644</v>
      </c>
      <c r="F377" s="82">
        <f t="shared" ref="F377:F381" si="6">D377*E377</f>
        <v>26.440677966101696</v>
      </c>
      <c r="G377" s="519"/>
      <c r="H377" s="520"/>
      <c r="I377" s="2"/>
      <c r="K377" s="83"/>
    </row>
    <row r="378" spans="1:11" ht="15.75" x14ac:dyDescent="0.25">
      <c r="A378" s="469" t="s">
        <v>268</v>
      </c>
      <c r="B378" s="469"/>
      <c r="C378" s="11" t="s">
        <v>76</v>
      </c>
      <c r="D378" s="12">
        <f>F229</f>
        <v>0.53</v>
      </c>
      <c r="E378" s="12">
        <f>IF(E149="Incluido IGV",F126,IF(AND(E149="Sin IGV"),H126))</f>
        <v>55.084745762711869</v>
      </c>
      <c r="F378" s="82">
        <f t="shared" si="6"/>
        <v>29.194915254237291</v>
      </c>
      <c r="G378" s="519"/>
      <c r="H378" s="520"/>
      <c r="I378" s="2"/>
      <c r="K378" s="83"/>
    </row>
    <row r="379" spans="1:11" ht="15.75" x14ac:dyDescent="0.25">
      <c r="A379" s="469" t="s">
        <v>77</v>
      </c>
      <c r="B379" s="469"/>
      <c r="C379" s="11" t="s">
        <v>76</v>
      </c>
      <c r="D379" s="170">
        <f>F230</f>
        <v>0.186</v>
      </c>
      <c r="E379" s="12">
        <f>IF(E149="Incluido IGV",F127,IF(AND(E149="Sin IGV"),H127))</f>
        <v>4.2372881355932206</v>
      </c>
      <c r="F379" s="82">
        <f t="shared" si="6"/>
        <v>0.78813559322033899</v>
      </c>
      <c r="G379" s="519"/>
      <c r="H379" s="520"/>
      <c r="I379" s="2"/>
      <c r="K379" s="83"/>
    </row>
    <row r="380" spans="1:11" x14ac:dyDescent="0.25">
      <c r="A380" s="477" t="str">
        <f>IF(G48="NO","GASOLINA DE 84 OCTANOS",IF(AND(G48="SI"),"-"))</f>
        <v>GASOLINA DE 84 OCTANOS</v>
      </c>
      <c r="B380" s="478"/>
      <c r="C380" s="11" t="str">
        <f>IF(G48="NO","galón",IF(AND(G48="SI"),"-"))</f>
        <v>galón</v>
      </c>
      <c r="D380" s="170">
        <f>IF(G48="NO",E45,IF(AND(G48="SI"),0))</f>
        <v>0.3</v>
      </c>
      <c r="E380" s="12">
        <f>IF(E149="Incluido IGV",F128,IF(AND(E149="Sin IGV"),H128))</f>
        <v>8.1271186440677976</v>
      </c>
      <c r="F380" s="82">
        <f t="shared" si="6"/>
        <v>2.438135593220339</v>
      </c>
      <c r="G380" s="519"/>
      <c r="H380" s="520"/>
      <c r="I380" s="2"/>
      <c r="K380" s="83"/>
    </row>
    <row r="381" spans="1:11" x14ac:dyDescent="0.25">
      <c r="A381" s="477" t="str">
        <f>IF(G49="NO","GRASA MULTIPROPÓSITOS",IF(AND(G49="SI"),"-"))</f>
        <v>GRASA MULTIPROPÓSITOS</v>
      </c>
      <c r="B381" s="478"/>
      <c r="C381" s="11" t="str">
        <f>IF(G49="NO","kg",IF(AND(G49="SI"),"-"))</f>
        <v>kg</v>
      </c>
      <c r="D381" s="170">
        <f>IF(G49="NO",E46,IF(AND(G49="SI"),0))</f>
        <v>8.0000000000000002E-3</v>
      </c>
      <c r="E381" s="12">
        <f>IF(E149="Incluido IGV",F129,IF(AND(E149="Sin IGV"),H129))</f>
        <v>16.949152542372882</v>
      </c>
      <c r="F381" s="82">
        <f t="shared" si="6"/>
        <v>0.13559322033898305</v>
      </c>
      <c r="G381" s="474"/>
      <c r="H381" s="476"/>
      <c r="I381" s="2"/>
      <c r="K381" s="83"/>
    </row>
    <row r="382" spans="1:11" x14ac:dyDescent="0.25">
      <c r="A382" s="470" t="s">
        <v>78</v>
      </c>
      <c r="B382" s="470"/>
      <c r="C382" s="470"/>
      <c r="D382" s="470"/>
      <c r="E382" s="470"/>
      <c r="F382" s="470"/>
      <c r="G382" s="471"/>
      <c r="H382" s="471"/>
      <c r="I382" s="2"/>
      <c r="K382" s="83"/>
    </row>
    <row r="383" spans="1:11" x14ac:dyDescent="0.25">
      <c r="A383" s="477" t="s">
        <v>269</v>
      </c>
      <c r="B383" s="478"/>
      <c r="C383" s="11" t="s">
        <v>80</v>
      </c>
      <c r="D383" s="240">
        <f>G351</f>
        <v>0.88888888888888884</v>
      </c>
      <c r="E383" s="241">
        <f>IF(E149="Incluido IGV",F145,IF(AND(E149="Sin IGV"),H145))</f>
        <v>8.4745762711864412</v>
      </c>
      <c r="F383" s="242">
        <f>D383*E383</f>
        <v>7.5329566854990588</v>
      </c>
      <c r="G383" s="473" t="s">
        <v>24</v>
      </c>
      <c r="H383" s="475">
        <f>F383+F384+F385</f>
        <v>23.411260044764596</v>
      </c>
      <c r="I383" s="2"/>
      <c r="K383" s="83"/>
    </row>
    <row r="384" spans="1:11" x14ac:dyDescent="0.25">
      <c r="A384" s="477" t="s">
        <v>79</v>
      </c>
      <c r="B384" s="478"/>
      <c r="C384" s="11" t="s">
        <v>80</v>
      </c>
      <c r="D384" s="240">
        <f>G353</f>
        <v>0.88888888888888884</v>
      </c>
      <c r="E384" s="241">
        <f>IF(E149="Incluido IGV",F146,IF(AND(E149="Sin IGV"),H146))</f>
        <v>10.16949152542373</v>
      </c>
      <c r="F384" s="242">
        <f>D384*E384</f>
        <v>9.0395480225988702</v>
      </c>
      <c r="G384" s="519"/>
      <c r="H384" s="520"/>
      <c r="I384" s="2"/>
      <c r="K384" s="83"/>
    </row>
    <row r="385" spans="1:11" x14ac:dyDescent="0.25">
      <c r="A385" s="477" t="s">
        <v>81</v>
      </c>
      <c r="B385" s="478"/>
      <c r="C385" s="11" t="s">
        <v>82</v>
      </c>
      <c r="D385" s="86">
        <f>E118</f>
        <v>0.03</v>
      </c>
      <c r="E385" s="12">
        <f>H370</f>
        <v>227.95851122222217</v>
      </c>
      <c r="F385" s="12">
        <f>D385*E385</f>
        <v>6.8387553366666651</v>
      </c>
      <c r="G385" s="474"/>
      <c r="H385" s="476"/>
      <c r="I385" s="2"/>
      <c r="K385" s="83"/>
    </row>
    <row r="386" spans="1:11" x14ac:dyDescent="0.25">
      <c r="A386" s="2"/>
      <c r="B386" s="2"/>
      <c r="C386" s="2"/>
      <c r="D386" s="2"/>
      <c r="E386" s="2"/>
      <c r="F386" s="2"/>
      <c r="G386" s="2"/>
      <c r="H386" s="2"/>
      <c r="I386" s="2"/>
    </row>
    <row r="387" spans="1:11" x14ac:dyDescent="0.25">
      <c r="A387" s="2"/>
      <c r="B387" s="2"/>
      <c r="C387" s="2"/>
      <c r="D387" s="2"/>
      <c r="E387" s="2"/>
      <c r="F387" s="2"/>
      <c r="G387" s="2"/>
      <c r="H387" s="2"/>
      <c r="I387" s="2"/>
    </row>
    <row r="388" spans="1:11" x14ac:dyDescent="0.25">
      <c r="A388" s="2"/>
      <c r="B388" s="2"/>
      <c r="C388" s="2"/>
      <c r="D388" s="2"/>
      <c r="E388" s="2"/>
      <c r="F388" s="2"/>
      <c r="G388" s="2"/>
      <c r="H388" s="2"/>
      <c r="I388" s="2"/>
    </row>
    <row r="389" spans="1:11" x14ac:dyDescent="0.25">
      <c r="A389" s="495" t="s">
        <v>56</v>
      </c>
      <c r="B389" s="495"/>
      <c r="C389" s="239" t="s">
        <v>717</v>
      </c>
      <c r="D389" s="239"/>
      <c r="E389" s="239"/>
      <c r="F389" s="238"/>
      <c r="G389" s="2"/>
      <c r="H389" s="2"/>
      <c r="I389" s="2"/>
    </row>
    <row r="390" spans="1:11" ht="15.75" x14ac:dyDescent="0.25">
      <c r="A390" s="2"/>
      <c r="B390" s="2"/>
      <c r="C390" s="32" t="s">
        <v>57</v>
      </c>
      <c r="D390" s="68">
        <f>B103</f>
        <v>14</v>
      </c>
      <c r="E390" s="2" t="s">
        <v>313</v>
      </c>
      <c r="F390" s="2"/>
      <c r="G390" s="2"/>
      <c r="H390" s="2"/>
      <c r="I390" s="2"/>
    </row>
    <row r="391" spans="1:11" ht="15.75" x14ac:dyDescent="0.25">
      <c r="A391" s="2"/>
      <c r="B391" s="2"/>
      <c r="C391" s="32" t="s">
        <v>58</v>
      </c>
      <c r="D391" s="76" t="s">
        <v>314</v>
      </c>
      <c r="E391" s="2"/>
      <c r="F391" s="77"/>
      <c r="G391" s="77" t="s">
        <v>59</v>
      </c>
      <c r="H391" s="78">
        <f>H394+H399+H403</f>
        <v>67.373282820047194</v>
      </c>
      <c r="I391" s="2"/>
    </row>
    <row r="392" spans="1:11" x14ac:dyDescent="0.25">
      <c r="A392" s="497"/>
      <c r="B392" s="497"/>
      <c r="C392" s="26" t="s">
        <v>60</v>
      </c>
      <c r="D392" s="26" t="s">
        <v>61</v>
      </c>
      <c r="E392" s="26" t="s">
        <v>62</v>
      </c>
      <c r="F392" s="26" t="s">
        <v>63</v>
      </c>
      <c r="G392" s="497" t="s">
        <v>64</v>
      </c>
      <c r="H392" s="497"/>
      <c r="I392" s="2"/>
      <c r="K392" s="80"/>
    </row>
    <row r="393" spans="1:11" x14ac:dyDescent="0.25">
      <c r="A393" s="470" t="s">
        <v>65</v>
      </c>
      <c r="B393" s="470"/>
      <c r="C393" s="470"/>
      <c r="D393" s="470"/>
      <c r="E393" s="470"/>
      <c r="F393" s="470"/>
      <c r="G393" s="498"/>
      <c r="H393" s="498"/>
      <c r="I393" s="2"/>
    </row>
    <row r="394" spans="1:11" x14ac:dyDescent="0.25">
      <c r="A394" s="469" t="s">
        <v>66</v>
      </c>
      <c r="B394" s="469"/>
      <c r="C394" s="11" t="s">
        <v>67</v>
      </c>
      <c r="D394" s="81">
        <f>G328</f>
        <v>5.7142857142857148E-2</v>
      </c>
      <c r="E394" s="12">
        <f>IF(D183="SI",G172,IF(AND(D183="NO"),((E158*1.1)/8)))</f>
        <v>26.646464625</v>
      </c>
      <c r="F394" s="82">
        <f>D394*E394</f>
        <v>1.5226551214285715</v>
      </c>
      <c r="G394" s="473" t="s">
        <v>24</v>
      </c>
      <c r="H394" s="475">
        <f>F394+F395+F396+F397</f>
        <v>46.044490478571419</v>
      </c>
      <c r="I394" s="2"/>
    </row>
    <row r="395" spans="1:11" x14ac:dyDescent="0.25">
      <c r="A395" s="469" t="s">
        <v>68</v>
      </c>
      <c r="B395" s="469"/>
      <c r="C395" s="11" t="s">
        <v>67</v>
      </c>
      <c r="D395" s="81">
        <f>G329</f>
        <v>0.5714285714285714</v>
      </c>
      <c r="E395" s="12">
        <f>IF(D183="SI",G173,IF(AND(D183="NO"),(E158/8)))</f>
        <v>24.224058749999998</v>
      </c>
      <c r="F395" s="82">
        <f t="shared" ref="F395:F397" si="7">D395*E395</f>
        <v>13.842319285714284</v>
      </c>
      <c r="G395" s="519"/>
      <c r="H395" s="520"/>
      <c r="I395" s="2"/>
      <c r="J395" s="2"/>
    </row>
    <row r="396" spans="1:11" x14ac:dyDescent="0.25">
      <c r="A396" s="469" t="s">
        <v>69</v>
      </c>
      <c r="B396" s="469"/>
      <c r="C396" s="11" t="s">
        <v>67</v>
      </c>
      <c r="D396" s="81">
        <f>G330</f>
        <v>0.5714285714285714</v>
      </c>
      <c r="E396" s="12">
        <f>IF(D183="SI",G174,IF(AND(D183="NO"),(F158/8)))</f>
        <v>19.121340624999998</v>
      </c>
      <c r="F396" s="82">
        <f t="shared" si="7"/>
        <v>10.926480357142855</v>
      </c>
      <c r="G396" s="519"/>
      <c r="H396" s="520"/>
      <c r="I396" s="2"/>
    </row>
    <row r="397" spans="1:11" x14ac:dyDescent="0.25">
      <c r="A397" s="469" t="s">
        <v>70</v>
      </c>
      <c r="B397" s="469"/>
      <c r="C397" s="11" t="s">
        <v>67</v>
      </c>
      <c r="D397" s="81">
        <f>G331</f>
        <v>1.1428571428571428</v>
      </c>
      <c r="E397" s="12">
        <f>IF(D183="SI",G175,IF(AND(D183="NO"),(G158/8)))</f>
        <v>17.283906249999998</v>
      </c>
      <c r="F397" s="82">
        <f t="shared" si="7"/>
        <v>19.753035714285712</v>
      </c>
      <c r="G397" s="474"/>
      <c r="H397" s="476"/>
      <c r="I397" s="2"/>
    </row>
    <row r="398" spans="1:11" x14ac:dyDescent="0.25">
      <c r="A398" s="470" t="s">
        <v>72</v>
      </c>
      <c r="B398" s="470"/>
      <c r="C398" s="470"/>
      <c r="D398" s="470"/>
      <c r="E398" s="470"/>
      <c r="F398" s="470"/>
      <c r="G398" s="471"/>
      <c r="H398" s="471"/>
      <c r="I398" s="2"/>
    </row>
    <row r="399" spans="1:11" ht="15.75" x14ac:dyDescent="0.25">
      <c r="A399" s="469" t="s">
        <v>270</v>
      </c>
      <c r="B399" s="469"/>
      <c r="C399" s="11" t="s">
        <v>315</v>
      </c>
      <c r="D399" s="12">
        <f>F245</f>
        <v>4.42</v>
      </c>
      <c r="E399" s="12">
        <f>IF(E149="Incluido IGV",F139,IF(AND(E149="Sin IGV"),H139))</f>
        <v>3.8135593220338984</v>
      </c>
      <c r="F399" s="82">
        <f>D399*E399</f>
        <v>16.85593220338983</v>
      </c>
      <c r="G399" s="473" t="s">
        <v>24</v>
      </c>
      <c r="H399" s="475">
        <f>F399+F400+F401</f>
        <v>19.947457627118645</v>
      </c>
      <c r="I399" s="2"/>
    </row>
    <row r="400" spans="1:11" x14ac:dyDescent="0.25">
      <c r="A400" s="469" t="s">
        <v>271</v>
      </c>
      <c r="B400" s="469"/>
      <c r="C400" s="11" t="s">
        <v>169</v>
      </c>
      <c r="D400" s="12">
        <f>F246</f>
        <v>0.17</v>
      </c>
      <c r="E400" s="12">
        <f>IF(E149="Incluido IGV",F140,IF(AND(E149="Sin IGV"),H140))</f>
        <v>6.8644067796610173</v>
      </c>
      <c r="F400" s="82">
        <f t="shared" ref="F400:F401" si="8">D400*E400</f>
        <v>1.166949152542373</v>
      </c>
      <c r="G400" s="519"/>
      <c r="H400" s="520"/>
      <c r="I400" s="2"/>
      <c r="K400" s="83"/>
    </row>
    <row r="401" spans="1:11" x14ac:dyDescent="0.25">
      <c r="A401" s="469" t="s">
        <v>438</v>
      </c>
      <c r="B401" s="469"/>
      <c r="C401" s="11" t="s">
        <v>169</v>
      </c>
      <c r="D401" s="12">
        <f>F247</f>
        <v>0.3</v>
      </c>
      <c r="E401" s="12">
        <f>IF(E149="Incluido IGV",F138,IF(AND(E149="Sin IGV"),H138))</f>
        <v>6.4152542372881358</v>
      </c>
      <c r="F401" s="82">
        <f t="shared" si="8"/>
        <v>1.9245762711864407</v>
      </c>
      <c r="G401" s="474"/>
      <c r="H401" s="476"/>
      <c r="I401" s="2"/>
      <c r="K401" s="83"/>
    </row>
    <row r="402" spans="1:11" x14ac:dyDescent="0.25">
      <c r="A402" s="470" t="s">
        <v>78</v>
      </c>
      <c r="B402" s="470"/>
      <c r="C402" s="470"/>
      <c r="D402" s="470"/>
      <c r="E402" s="470"/>
      <c r="F402" s="470"/>
      <c r="G402" s="471"/>
      <c r="H402" s="471"/>
      <c r="I402" s="2"/>
      <c r="K402" s="83"/>
    </row>
    <row r="403" spans="1:11" x14ac:dyDescent="0.25">
      <c r="A403" s="477" t="s">
        <v>81</v>
      </c>
      <c r="B403" s="478"/>
      <c r="C403" s="11" t="s">
        <v>82</v>
      </c>
      <c r="D403" s="86">
        <f>E118</f>
        <v>0.03</v>
      </c>
      <c r="E403" s="12">
        <f>H394</f>
        <v>46.044490478571419</v>
      </c>
      <c r="F403" s="82">
        <f>D403*E403</f>
        <v>1.3813347143571426</v>
      </c>
      <c r="G403" s="243" t="s">
        <v>24</v>
      </c>
      <c r="H403" s="244">
        <f>F403</f>
        <v>1.3813347143571426</v>
      </c>
      <c r="I403" s="2"/>
      <c r="K403" s="83"/>
    </row>
    <row r="404" spans="1:11" x14ac:dyDescent="0.25">
      <c r="A404" s="2"/>
      <c r="B404" s="2"/>
      <c r="C404" s="2"/>
      <c r="D404" s="2"/>
      <c r="E404" s="2"/>
      <c r="F404" s="2"/>
      <c r="G404" s="2"/>
      <c r="H404" s="2"/>
      <c r="I404" s="2"/>
    </row>
    <row r="405" spans="1:11" x14ac:dyDescent="0.25">
      <c r="A405" s="2"/>
      <c r="B405" s="2"/>
      <c r="C405" s="2"/>
      <c r="D405" s="2"/>
      <c r="E405" s="2"/>
      <c r="F405" s="2"/>
      <c r="G405" s="2"/>
      <c r="H405" s="2"/>
      <c r="I405" s="2"/>
    </row>
    <row r="406" spans="1:11" x14ac:dyDescent="0.25">
      <c r="A406" s="2"/>
      <c r="B406" s="2"/>
      <c r="C406" s="2"/>
      <c r="D406" s="2"/>
      <c r="E406" s="2"/>
      <c r="F406" s="2"/>
      <c r="G406" s="2"/>
      <c r="H406" s="2"/>
      <c r="I406" s="2"/>
    </row>
    <row r="407" spans="1:11" x14ac:dyDescent="0.25">
      <c r="A407" s="495" t="s">
        <v>56</v>
      </c>
      <c r="B407" s="495"/>
      <c r="C407" s="239" t="s">
        <v>272</v>
      </c>
      <c r="D407" s="239"/>
      <c r="E407" s="239"/>
      <c r="F407" s="238"/>
      <c r="G407" s="2"/>
      <c r="H407" s="2"/>
      <c r="I407" s="2"/>
    </row>
    <row r="408" spans="1:11" x14ac:dyDescent="0.25">
      <c r="A408" s="2"/>
      <c r="B408" s="2"/>
      <c r="C408" s="32" t="s">
        <v>57</v>
      </c>
      <c r="D408" s="68">
        <f>B105</f>
        <v>250</v>
      </c>
      <c r="E408" s="2" t="s">
        <v>228</v>
      </c>
      <c r="F408" s="2"/>
      <c r="G408" s="2"/>
      <c r="H408" s="2"/>
      <c r="I408" s="2"/>
    </row>
    <row r="409" spans="1:11" x14ac:dyDescent="0.25">
      <c r="A409" s="2"/>
      <c r="B409" s="2"/>
      <c r="C409" s="32" t="s">
        <v>58</v>
      </c>
      <c r="D409" s="76" t="s">
        <v>169</v>
      </c>
      <c r="E409" s="2"/>
      <c r="F409" s="77"/>
      <c r="G409" s="77" t="s">
        <v>59</v>
      </c>
      <c r="H409" s="78">
        <f>H412+H417+H420</f>
        <v>6.8776053083210309</v>
      </c>
      <c r="I409" s="2"/>
    </row>
    <row r="410" spans="1:11" x14ac:dyDescent="0.25">
      <c r="A410" s="497"/>
      <c r="B410" s="497"/>
      <c r="C410" s="26" t="s">
        <v>60</v>
      </c>
      <c r="D410" s="26" t="s">
        <v>61</v>
      </c>
      <c r="E410" s="26" t="s">
        <v>62</v>
      </c>
      <c r="F410" s="26" t="s">
        <v>63</v>
      </c>
      <c r="G410" s="497" t="s">
        <v>64</v>
      </c>
      <c r="H410" s="497"/>
      <c r="I410" s="2"/>
      <c r="K410" s="80"/>
    </row>
    <row r="411" spans="1:11" x14ac:dyDescent="0.25">
      <c r="A411" s="470" t="s">
        <v>65</v>
      </c>
      <c r="B411" s="470"/>
      <c r="C411" s="470"/>
      <c r="D411" s="470"/>
      <c r="E411" s="470"/>
      <c r="F411" s="470"/>
      <c r="G411" s="498"/>
      <c r="H411" s="498"/>
      <c r="I411" s="2"/>
    </row>
    <row r="412" spans="1:11" x14ac:dyDescent="0.25">
      <c r="A412" s="469" t="s">
        <v>66</v>
      </c>
      <c r="B412" s="469"/>
      <c r="C412" s="11" t="s">
        <v>67</v>
      </c>
      <c r="D412" s="81">
        <f>G338</f>
        <v>3.2000000000000002E-3</v>
      </c>
      <c r="E412" s="12">
        <f>IF(D183="SI",G172,IF(AND(D183="NO"),((E158*1.1)/8)))</f>
        <v>26.646464625</v>
      </c>
      <c r="F412" s="82">
        <f>D412*E412</f>
        <v>8.5268686800000007E-2</v>
      </c>
      <c r="G412" s="473" t="s">
        <v>24</v>
      </c>
      <c r="H412" s="475">
        <f>F412+F413+F414+F415</f>
        <v>2.0254064667999998</v>
      </c>
      <c r="I412" s="2"/>
    </row>
    <row r="413" spans="1:11" x14ac:dyDescent="0.25">
      <c r="A413" s="469" t="s">
        <v>68</v>
      </c>
      <c r="B413" s="469"/>
      <c r="C413" s="11" t="s">
        <v>67</v>
      </c>
      <c r="D413" s="81">
        <f>G339</f>
        <v>3.2000000000000001E-2</v>
      </c>
      <c r="E413" s="12">
        <f>IF(D183="SI",G173,IF(AND(D183="NO"),(E158/8)))</f>
        <v>24.224058749999998</v>
      </c>
      <c r="F413" s="82">
        <f t="shared" ref="F413:F415" si="9">D413*E413</f>
        <v>0.77516987999999998</v>
      </c>
      <c r="G413" s="519"/>
      <c r="H413" s="520"/>
      <c r="I413" s="2"/>
      <c r="J413" s="245"/>
    </row>
    <row r="414" spans="1:11" x14ac:dyDescent="0.25">
      <c r="A414" s="469" t="s">
        <v>69</v>
      </c>
      <c r="B414" s="469"/>
      <c r="C414" s="11" t="s">
        <v>67</v>
      </c>
      <c r="D414" s="81">
        <f>G340</f>
        <v>3.2000000000000001E-2</v>
      </c>
      <c r="E414" s="12">
        <f>IF(D183="SI",G174,IF(AND(D183="NO"),(F158/8)))</f>
        <v>19.121340624999998</v>
      </c>
      <c r="F414" s="82">
        <f t="shared" si="9"/>
        <v>0.61188290000000001</v>
      </c>
      <c r="G414" s="519"/>
      <c r="H414" s="520"/>
      <c r="I414" s="2"/>
      <c r="J414" s="245"/>
    </row>
    <row r="415" spans="1:11" x14ac:dyDescent="0.25">
      <c r="A415" s="469" t="s">
        <v>70</v>
      </c>
      <c r="B415" s="469"/>
      <c r="C415" s="11" t="s">
        <v>67</v>
      </c>
      <c r="D415" s="81">
        <f>G341</f>
        <v>3.2000000000000001E-2</v>
      </c>
      <c r="E415" s="12">
        <f>IF(D183="SI",G175,IF(AND(D183="NO"),(G158/8)))</f>
        <v>17.283906249999998</v>
      </c>
      <c r="F415" s="82">
        <f t="shared" si="9"/>
        <v>0.55308499999999994</v>
      </c>
      <c r="G415" s="474"/>
      <c r="H415" s="476"/>
      <c r="I415" s="2"/>
      <c r="J415" s="245"/>
    </row>
    <row r="416" spans="1:11" x14ac:dyDescent="0.25">
      <c r="A416" s="470" t="s">
        <v>72</v>
      </c>
      <c r="B416" s="470"/>
      <c r="C416" s="470"/>
      <c r="D416" s="470"/>
      <c r="E416" s="470"/>
      <c r="F416" s="470"/>
      <c r="G416" s="471"/>
      <c r="H416" s="471"/>
      <c r="I416" s="2"/>
      <c r="J416" s="245"/>
    </row>
    <row r="417" spans="1:16" x14ac:dyDescent="0.25">
      <c r="A417" s="469" t="s">
        <v>316</v>
      </c>
      <c r="B417" s="469"/>
      <c r="C417" s="11" t="s">
        <v>169</v>
      </c>
      <c r="D417" s="170">
        <f>F260</f>
        <v>1.0442857142857143</v>
      </c>
      <c r="E417" s="12">
        <f>IF(E149="Incluido IGV",((F130/(F281*H58))*((F281*F282*F264)/(F281*F282*F264+F281*F283*F265+F281*(F284+F274)*F266+F273*F275*F267+F273*F276*F268+F273*F277*F269+F273*F278*F270))+((F131/(F281*H59))*((F281*F283*F265)/(F281*F282*F264+F281*F283*F265+F281*(F284+F274)*F266+F273*F275*F267+F273*F276*F268+F273*F277*F269+F273*F278*F270))+((F132/(F273*H60))*((F281*(F284+F274)*F266)/(F281*F282*F264+F281*F283*F265+F281*(F284+F274)*F266+F273*F275*F267+F273*F276*F268+F273*F277*F269+F273*F278*F270))+(F133/(F273*H61))*((F273*F275*F267)/(F281*F282*F264+F281*F283*F265+F281*(F284+F274)*F266+F273*F275*F267+F273*F276*F268+F273*F277*F269+F273*F278*F270))+(F134/(F273*H62))*((F273*F276*F268)/(F281*F282*F264+F281*F283*F265+F281*(F284+F274)*F266+F273*F275*F267+F273*F276*F268+F273*F277*F269+F273*F278*F270))+(F135/(F273*H63))*((F273*F277*F269)/(F281*F282*F264+F281*F283*F265+F281*(F284+F274)*F266+F273*F275*F267+F273*F276*F268+F273*F277*F269+F273*F278*F270))+(F136/(F273*H64))*((F273*F278*F270)/(F281*F282*F264+F281*F283*F265+F281*(F284+F274)*F266+F273*F275*F267+F273*F276*F268+F273*F277*F269+F273*F278*F270))))),IF(AND(E149="Sin IGV"),((H130/(F281*H58))*((F281*F282*F264)/(F281*F282*F264+F281*F283*F265+F281*(F284+F274)*F266+F273*F275*F267+F273*F276*F268+F273*F277*F269+F273*F278*F270))+((H131/(F281*H59))*((F281*F283*F265)/(F281*F282*F264+F281*F283*F265+F281*(F284+F274)*F266+F273*F275*F267+F273*F276*F268+F273*F277*F269+F273*F278*F270))+((H132/(F273*H60))*((F281*(F284+F274)*F266)/(F281*F282*F264+F281*F283*F265+F281*(F284+F274)*F266+F273*F275*F267+F273*F276*F268+F273*F277*F269+F273*F278*F270))+(H133/(F273*H61))*((F273*F275*F267)/(F281*F282*F264+F281*F283*F265+F281*(F284+F274)*F266+F273*F275*F267+F273*F276*F268+F273*F277*F269+F273*F278*F270))+(H134/(F273*H62))*((F273*F276*F268)/(F281*F282*F264+F281*F283*F265+F281*(F284+F274)*F266+F273*F275*F267+F273*F276*F268+F273*F277*F269+F273*F278*F270))+(H135/(F273*H63))*((F273*F277*F269)/(F281*F282*F264+F281*F283*F265+F281*(F284+F274)*F266+F273*F275*F267+F273*F276*F268+F273*F277*F269+F273*F278*F270))+(H136/(F273*H64))*((F273*F278*F270)/(F281*F282*F264+F281*F283*F265+F281*(F284+F274)*F266+F273*F275*F267+F273*F276*F268+F273*F277*F269+F273*F278*F270)))))))</f>
        <v>4.2823003905134227</v>
      </c>
      <c r="F417" s="82">
        <f>D417*E417</f>
        <v>4.4719451220933024</v>
      </c>
      <c r="G417" s="473" t="s">
        <v>24</v>
      </c>
      <c r="H417" s="475">
        <f>F417+F418</f>
        <v>4.7914366475170311</v>
      </c>
      <c r="I417" s="2"/>
      <c r="J417" s="245"/>
    </row>
    <row r="418" spans="1:16" x14ac:dyDescent="0.25">
      <c r="A418" s="469" t="s">
        <v>273</v>
      </c>
      <c r="B418" s="469"/>
      <c r="C418" s="11" t="s">
        <v>169</v>
      </c>
      <c r="D418" s="12">
        <f>F261</f>
        <v>0.05</v>
      </c>
      <c r="E418" s="12">
        <f>IF(E149="Incluido IGV",F137,IF(AND(E149="Sin IGV"),H137))</f>
        <v>6.389830508474577</v>
      </c>
      <c r="F418" s="82">
        <f t="shared" ref="F418" si="10">D418*E418</f>
        <v>0.31949152542372888</v>
      </c>
      <c r="G418" s="474"/>
      <c r="H418" s="476"/>
      <c r="I418" s="2"/>
      <c r="J418" s="245"/>
    </row>
    <row r="419" spans="1:16" x14ac:dyDescent="0.25">
      <c r="A419" s="470" t="s">
        <v>78</v>
      </c>
      <c r="B419" s="470"/>
      <c r="C419" s="470"/>
      <c r="D419" s="470"/>
      <c r="E419" s="470"/>
      <c r="F419" s="470"/>
      <c r="G419" s="471"/>
      <c r="H419" s="471"/>
      <c r="I419" s="2"/>
      <c r="J419" s="245"/>
    </row>
    <row r="420" spans="1:16" x14ac:dyDescent="0.25">
      <c r="A420" s="477" t="s">
        <v>81</v>
      </c>
      <c r="B420" s="478"/>
      <c r="C420" s="11" t="s">
        <v>82</v>
      </c>
      <c r="D420" s="86">
        <f>E118</f>
        <v>0.03</v>
      </c>
      <c r="E420" s="12">
        <f>H412</f>
        <v>2.0254064667999998</v>
      </c>
      <c r="F420" s="82">
        <f>D420*E420</f>
        <v>6.0762194003999993E-2</v>
      </c>
      <c r="G420" s="243" t="s">
        <v>24</v>
      </c>
      <c r="H420" s="244">
        <f>F420</f>
        <v>6.0762194003999993E-2</v>
      </c>
      <c r="I420" s="2"/>
      <c r="J420" s="245"/>
      <c r="O420" s="285"/>
      <c r="P420" s="285"/>
    </row>
    <row r="421" spans="1:16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47"/>
      <c r="K421" s="246"/>
    </row>
    <row r="422" spans="1:16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45"/>
      <c r="K422" s="246"/>
    </row>
    <row r="423" spans="1:16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45"/>
      <c r="K423" s="246"/>
    </row>
    <row r="424" spans="1:16" ht="15.75" x14ac:dyDescent="0.25">
      <c r="A424" s="404" t="s">
        <v>718</v>
      </c>
      <c r="B424" s="405"/>
      <c r="C424" s="405"/>
      <c r="D424" s="405"/>
      <c r="E424" s="2"/>
      <c r="F424" s="2"/>
      <c r="G424" s="2"/>
      <c r="H424" s="2"/>
      <c r="I424" s="2"/>
    </row>
    <row r="425" spans="1:16" ht="15.75" x14ac:dyDescent="0.25">
      <c r="A425" s="153"/>
      <c r="B425" s="153"/>
      <c r="C425" s="153"/>
      <c r="D425" s="153"/>
      <c r="E425" s="2"/>
      <c r="F425" s="2"/>
      <c r="G425" s="2"/>
      <c r="H425" s="2"/>
      <c r="I425" s="2"/>
    </row>
    <row r="426" spans="1:16" ht="15.75" customHeight="1" x14ac:dyDescent="0.25">
      <c r="A426" s="2"/>
      <c r="B426" s="2"/>
      <c r="C426" s="455" t="s">
        <v>171</v>
      </c>
      <c r="D426" s="455"/>
      <c r="E426" s="456" t="str">
        <f>E361</f>
        <v>MAYOR A 50 UIT</v>
      </c>
      <c r="F426" s="456"/>
      <c r="G426" s="31"/>
      <c r="H426" s="31"/>
      <c r="I426" s="31"/>
      <c r="J426" s="154"/>
    </row>
    <row r="427" spans="1:16" ht="15.75" customHeight="1" x14ac:dyDescent="0.25">
      <c r="A427" s="2"/>
      <c r="B427" s="2"/>
      <c r="C427" s="455" t="s">
        <v>172</v>
      </c>
      <c r="D427" s="455"/>
      <c r="E427" s="6" t="str">
        <f>E362</f>
        <v>SIN IGV</v>
      </c>
      <c r="F427" s="25"/>
      <c r="G427" s="2"/>
      <c r="H427" s="2"/>
      <c r="I427" s="2"/>
      <c r="K427" s="154"/>
      <c r="L427" s="154"/>
    </row>
    <row r="428" spans="1:16" ht="15.75" customHeight="1" x14ac:dyDescent="0.25">
      <c r="A428" s="2"/>
      <c r="B428" s="2"/>
      <c r="C428" s="77"/>
      <c r="D428" s="77"/>
      <c r="E428" s="4"/>
      <c r="F428" s="2"/>
      <c r="G428" s="2"/>
      <c r="H428" s="2"/>
      <c r="I428" s="2"/>
    </row>
    <row r="429" spans="1:16" x14ac:dyDescent="0.25">
      <c r="A429" s="2"/>
      <c r="B429" s="500" t="s">
        <v>46</v>
      </c>
      <c r="C429" s="501"/>
      <c r="D429" s="505" t="s">
        <v>60</v>
      </c>
      <c r="E429" s="504" t="s">
        <v>83</v>
      </c>
      <c r="F429" s="504" t="s">
        <v>84</v>
      </c>
      <c r="G429" s="458" t="s">
        <v>85</v>
      </c>
      <c r="H429" s="459"/>
      <c r="I429" s="2"/>
    </row>
    <row r="430" spans="1:16" x14ac:dyDescent="0.25">
      <c r="A430" s="2"/>
      <c r="B430" s="502"/>
      <c r="C430" s="503"/>
      <c r="D430" s="506"/>
      <c r="E430" s="504"/>
      <c r="F430" s="504"/>
      <c r="G430" s="616"/>
      <c r="H430" s="617"/>
      <c r="I430" s="2"/>
    </row>
    <row r="431" spans="1:16" x14ac:dyDescent="0.25">
      <c r="A431" s="2"/>
      <c r="B431" s="491" t="s">
        <v>712</v>
      </c>
      <c r="C431" s="492"/>
      <c r="D431" s="460" t="s">
        <v>317</v>
      </c>
      <c r="E431" s="463">
        <f>G195</f>
        <v>25</v>
      </c>
      <c r="F431" s="466">
        <f>H367</f>
        <v>491.77400855512246</v>
      </c>
      <c r="G431" s="485" t="s">
        <v>24</v>
      </c>
      <c r="H431" s="488">
        <f>E431*F431</f>
        <v>12294.350213878062</v>
      </c>
      <c r="I431" s="2"/>
    </row>
    <row r="432" spans="1:16" x14ac:dyDescent="0.25">
      <c r="A432" s="2"/>
      <c r="B432" s="248" t="s">
        <v>318</v>
      </c>
      <c r="C432" s="249">
        <f>F365</f>
        <v>210</v>
      </c>
      <c r="D432" s="461"/>
      <c r="E432" s="464"/>
      <c r="F432" s="467"/>
      <c r="G432" s="486"/>
      <c r="H432" s="489"/>
      <c r="I432" s="2"/>
    </row>
    <row r="433" spans="1:12" x14ac:dyDescent="0.25">
      <c r="A433" s="2"/>
      <c r="B433" s="493" t="s">
        <v>319</v>
      </c>
      <c r="C433" s="494"/>
      <c r="D433" s="462"/>
      <c r="E433" s="465"/>
      <c r="F433" s="468"/>
      <c r="G433" s="487"/>
      <c r="H433" s="490"/>
      <c r="I433" s="2"/>
    </row>
    <row r="434" spans="1:12" x14ac:dyDescent="0.25">
      <c r="A434" s="2"/>
      <c r="B434" s="479" t="s">
        <v>714</v>
      </c>
      <c r="C434" s="480"/>
      <c r="D434" s="460" t="s">
        <v>314</v>
      </c>
      <c r="E434" s="463">
        <f>G196</f>
        <v>80</v>
      </c>
      <c r="F434" s="466">
        <f>H391</f>
        <v>67.373282820047194</v>
      </c>
      <c r="G434" s="485" t="s">
        <v>24</v>
      </c>
      <c r="H434" s="488">
        <f>E434*F434</f>
        <v>5389.8626256037751</v>
      </c>
      <c r="I434" s="2"/>
    </row>
    <row r="435" spans="1:12" x14ac:dyDescent="0.25">
      <c r="A435" s="2"/>
      <c r="B435" s="481"/>
      <c r="C435" s="482"/>
      <c r="D435" s="461"/>
      <c r="E435" s="464"/>
      <c r="F435" s="467"/>
      <c r="G435" s="486"/>
      <c r="H435" s="489"/>
      <c r="I435" s="2"/>
    </row>
    <row r="436" spans="1:12" x14ac:dyDescent="0.25">
      <c r="A436" s="2"/>
      <c r="B436" s="483"/>
      <c r="C436" s="484"/>
      <c r="D436" s="462"/>
      <c r="E436" s="465"/>
      <c r="F436" s="468"/>
      <c r="G436" s="487"/>
      <c r="H436" s="490"/>
      <c r="I436" s="2"/>
    </row>
    <row r="437" spans="1:12" x14ac:dyDescent="0.25">
      <c r="A437" s="2"/>
      <c r="B437" s="479" t="s">
        <v>274</v>
      </c>
      <c r="C437" s="480"/>
      <c r="D437" s="460" t="s">
        <v>169</v>
      </c>
      <c r="E437" s="463">
        <f>F281*F282*F264+F281*F283*F265+F281*(F284+F274)*F266+F273*F275*F267+F273*F276*F268+F273*F277*F269+F273*F278*F270</f>
        <v>1050</v>
      </c>
      <c r="F437" s="466">
        <f>H409</f>
        <v>6.8776053083210309</v>
      </c>
      <c r="G437" s="485" t="s">
        <v>24</v>
      </c>
      <c r="H437" s="488">
        <f>E437*F437</f>
        <v>7221.4855737370826</v>
      </c>
      <c r="I437" s="2"/>
    </row>
    <row r="438" spans="1:12" x14ac:dyDescent="0.25">
      <c r="A438" s="2"/>
      <c r="B438" s="481"/>
      <c r="C438" s="482"/>
      <c r="D438" s="461"/>
      <c r="E438" s="464"/>
      <c r="F438" s="467"/>
      <c r="G438" s="486"/>
      <c r="H438" s="489"/>
      <c r="I438" s="2"/>
    </row>
    <row r="439" spans="1:12" x14ac:dyDescent="0.25">
      <c r="A439" s="2"/>
      <c r="B439" s="483"/>
      <c r="C439" s="484"/>
      <c r="D439" s="462"/>
      <c r="E439" s="465"/>
      <c r="F439" s="468"/>
      <c r="G439" s="487"/>
      <c r="H439" s="490"/>
      <c r="I439" s="2"/>
      <c r="J439" s="54"/>
    </row>
    <row r="440" spans="1:12" x14ac:dyDescent="0.25">
      <c r="A440" s="2"/>
      <c r="B440" s="622" t="s">
        <v>719</v>
      </c>
      <c r="C440" s="623"/>
      <c r="D440" s="623"/>
      <c r="E440" s="623"/>
      <c r="F440" s="624"/>
      <c r="G440" s="618" t="s">
        <v>24</v>
      </c>
      <c r="H440" s="620">
        <f>H431+H434+H437</f>
        <v>24905.698413218917</v>
      </c>
      <c r="I440" s="2"/>
    </row>
    <row r="441" spans="1:12" x14ac:dyDescent="0.25">
      <c r="A441" s="2"/>
      <c r="B441" s="87"/>
      <c r="C441" s="88"/>
      <c r="D441" s="88" t="s">
        <v>400</v>
      </c>
      <c r="E441" s="90" t="str">
        <f>E149</f>
        <v>Sin IGV</v>
      </c>
      <c r="F441" s="91"/>
      <c r="G441" s="619"/>
      <c r="H441" s="621"/>
      <c r="I441" s="2"/>
    </row>
    <row r="442" spans="1:12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12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12" ht="15.75" x14ac:dyDescent="0.25">
      <c r="A444" s="404" t="s">
        <v>720</v>
      </c>
      <c r="B444" s="405"/>
      <c r="C444" s="405"/>
      <c r="D444" s="405"/>
      <c r="E444" s="405"/>
      <c r="F444" s="401"/>
      <c r="G444" s="2"/>
      <c r="H444" s="2"/>
      <c r="I444" s="2"/>
    </row>
    <row r="445" spans="1:12" ht="15.75" x14ac:dyDescent="0.25">
      <c r="A445" s="153"/>
      <c r="B445" s="153"/>
      <c r="C445" s="153"/>
      <c r="D445" s="153"/>
      <c r="E445" s="2"/>
      <c r="F445" s="2"/>
      <c r="G445" s="2"/>
      <c r="H445" s="2"/>
      <c r="I445" s="2"/>
    </row>
    <row r="446" spans="1:12" ht="15.75" customHeight="1" x14ac:dyDescent="0.25">
      <c r="A446" s="2"/>
      <c r="B446" s="2"/>
      <c r="C446" s="455" t="s">
        <v>171</v>
      </c>
      <c r="D446" s="455"/>
      <c r="E446" s="456" t="str">
        <f>E426</f>
        <v>MAYOR A 50 UIT</v>
      </c>
      <c r="F446" s="456"/>
      <c r="G446" s="31"/>
      <c r="H446" s="31"/>
      <c r="I446" s="31"/>
      <c r="J446" s="154"/>
    </row>
    <row r="447" spans="1:12" ht="15.75" customHeight="1" x14ac:dyDescent="0.25">
      <c r="A447" s="2"/>
      <c r="B447" s="2"/>
      <c r="C447" s="455" t="s">
        <v>172</v>
      </c>
      <c r="D447" s="455"/>
      <c r="E447" s="6" t="str">
        <f>E427</f>
        <v>SIN IGV</v>
      </c>
      <c r="F447" s="25"/>
      <c r="G447" s="2"/>
      <c r="H447" s="2"/>
      <c r="I447" s="2"/>
      <c r="K447" s="154"/>
      <c r="L447" s="154"/>
    </row>
    <row r="448" spans="1:12" ht="15.75" customHeight="1" x14ac:dyDescent="0.25">
      <c r="A448" s="2"/>
      <c r="B448" s="2"/>
      <c r="C448" s="77"/>
      <c r="D448" s="77"/>
      <c r="E448" s="4"/>
      <c r="F448" s="2"/>
      <c r="G448" s="2"/>
      <c r="H448" s="2"/>
      <c r="I448" s="2"/>
    </row>
    <row r="449" spans="1:9" ht="15" customHeight="1" x14ac:dyDescent="0.25">
      <c r="A449" s="2"/>
      <c r="B449" s="2"/>
      <c r="C449" s="448" t="s">
        <v>72</v>
      </c>
      <c r="D449" s="457"/>
      <c r="E449" s="458" t="s">
        <v>87</v>
      </c>
      <c r="F449" s="459"/>
      <c r="G449" s="2"/>
      <c r="H449" s="2"/>
      <c r="I449" s="2"/>
    </row>
    <row r="450" spans="1:9" x14ac:dyDescent="0.25">
      <c r="A450" s="2"/>
      <c r="B450" s="2"/>
      <c r="C450" s="446" t="s">
        <v>39</v>
      </c>
      <c r="D450" s="447"/>
      <c r="E450" s="92">
        <f>F235</f>
        <v>255.41249999999999</v>
      </c>
      <c r="F450" s="93" t="s">
        <v>35</v>
      </c>
      <c r="G450" s="2"/>
      <c r="H450" s="2"/>
      <c r="I450" s="2"/>
    </row>
    <row r="451" spans="1:9" ht="15.75" x14ac:dyDescent="0.25">
      <c r="A451" s="2"/>
      <c r="B451" s="2"/>
      <c r="C451" s="446" t="s">
        <v>236</v>
      </c>
      <c r="D451" s="447"/>
      <c r="E451" s="92">
        <f>F236</f>
        <v>13.65</v>
      </c>
      <c r="F451" s="93" t="s">
        <v>88</v>
      </c>
      <c r="G451" s="2"/>
      <c r="H451" s="2"/>
      <c r="I451" s="2"/>
    </row>
    <row r="452" spans="1:9" ht="15.75" x14ac:dyDescent="0.25">
      <c r="A452" s="2"/>
      <c r="B452" s="2"/>
      <c r="C452" s="446" t="s">
        <v>237</v>
      </c>
      <c r="D452" s="447"/>
      <c r="E452" s="92">
        <f>F237</f>
        <v>13.9125</v>
      </c>
      <c r="F452" s="93" t="s">
        <v>88</v>
      </c>
      <c r="G452" s="2"/>
      <c r="H452" s="2"/>
      <c r="I452" s="2"/>
    </row>
    <row r="453" spans="1:9" ht="15.75" x14ac:dyDescent="0.25">
      <c r="A453" s="2"/>
      <c r="B453" s="2"/>
      <c r="C453" s="446" t="s">
        <v>89</v>
      </c>
      <c r="D453" s="447"/>
      <c r="E453" s="250">
        <f>F238</f>
        <v>4.8825000000000003</v>
      </c>
      <c r="F453" s="95" t="s">
        <v>88</v>
      </c>
      <c r="G453" s="2"/>
      <c r="H453" s="2"/>
      <c r="I453" s="2"/>
    </row>
    <row r="454" spans="1:9" x14ac:dyDescent="0.25">
      <c r="A454" s="2"/>
      <c r="B454" s="2"/>
      <c r="C454" s="446" t="str">
        <f>B128</f>
        <v>Gasolina de 84 octanos</v>
      </c>
      <c r="D454" s="447"/>
      <c r="E454" s="406">
        <f>IF(G48="NO",E45*E222,IF(AND(G48="SI"),0))</f>
        <v>7.875</v>
      </c>
      <c r="F454" s="95" t="str">
        <f>IF(G48="NO","galones",IF(AND(G48="SI"),"-"))</f>
        <v>galones</v>
      </c>
      <c r="G454" s="2"/>
      <c r="H454" s="367"/>
      <c r="I454" s="2"/>
    </row>
    <row r="455" spans="1:9" x14ac:dyDescent="0.25">
      <c r="A455" s="2"/>
      <c r="B455" s="2"/>
      <c r="C455" s="446" t="str">
        <f>B129</f>
        <v>Grasa multipropósitos</v>
      </c>
      <c r="D455" s="447"/>
      <c r="E455" s="406">
        <f>IF(G49="NO",E46*E222,IF(AND(G49="SI"),0))</f>
        <v>0.21</v>
      </c>
      <c r="F455" s="95" t="str">
        <f>IF(G49="NO","kg",IF(AND(G49="SI"),"-"))</f>
        <v>kg</v>
      </c>
      <c r="G455" s="2"/>
      <c r="H455" s="367"/>
      <c r="I455" s="2"/>
    </row>
    <row r="456" spans="1:9" x14ac:dyDescent="0.25">
      <c r="A456" s="2"/>
      <c r="B456" s="2"/>
      <c r="C456" s="252" t="str">
        <f>B130</f>
        <v>-</v>
      </c>
      <c r="D456" s="253" t="str">
        <f>C130</f>
        <v>-</v>
      </c>
      <c r="E456" s="251">
        <f>F296</f>
        <v>0</v>
      </c>
      <c r="F456" s="95" t="str">
        <f>IF(F80="si","varillas",IF(AND(F80="no"),"-"))</f>
        <v>-</v>
      </c>
      <c r="G456" s="2"/>
      <c r="H456" s="2"/>
      <c r="I456" s="2"/>
    </row>
    <row r="457" spans="1:9" x14ac:dyDescent="0.25">
      <c r="A457" s="2"/>
      <c r="B457" s="2"/>
      <c r="C457" s="252" t="str">
        <f t="shared" ref="C457:D462" si="11">B131</f>
        <v>Acero de</v>
      </c>
      <c r="D457" s="253" t="str">
        <f t="shared" si="11"/>
        <v>8 mm</v>
      </c>
      <c r="E457" s="251">
        <f>F297</f>
        <v>86.919831223628691</v>
      </c>
      <c r="F457" s="95" t="str">
        <f t="shared" ref="F457" si="12">IF(F81="si","varillas",IF(AND(F81="no"),"-"))</f>
        <v>varillas</v>
      </c>
      <c r="G457" s="2"/>
      <c r="H457" s="2"/>
      <c r="I457" s="2"/>
    </row>
    <row r="458" spans="1:9" x14ac:dyDescent="0.25">
      <c r="A458" s="2"/>
      <c r="B458" s="2"/>
      <c r="C458" s="252" t="str">
        <f t="shared" si="11"/>
        <v>Acero de</v>
      </c>
      <c r="D458" s="253" t="str">
        <f t="shared" si="11"/>
        <v>3/8"</v>
      </c>
      <c r="E458" s="251">
        <f t="shared" ref="E458:E462" si="13">F298</f>
        <v>51.366447237183316</v>
      </c>
      <c r="F458" s="95" t="str">
        <f>IF(F70="si","varillas",IF(AND(F82="si"),"varillas",IF(AND(F70="no"),"-",IF(AND(F82="no"),"-"))))</f>
        <v>varillas</v>
      </c>
      <c r="G458" s="2"/>
      <c r="H458" s="2"/>
      <c r="I458" s="2"/>
    </row>
    <row r="459" spans="1:9" x14ac:dyDescent="0.25">
      <c r="A459" s="2"/>
      <c r="B459" s="2"/>
      <c r="C459" s="252" t="str">
        <f t="shared" si="11"/>
        <v>Acero de</v>
      </c>
      <c r="D459" s="253" t="str">
        <f t="shared" si="11"/>
        <v>1/2"</v>
      </c>
      <c r="E459" s="251">
        <f t="shared" si="13"/>
        <v>29.342723004694836</v>
      </c>
      <c r="F459" s="95" t="str">
        <f>IF(F71="si","varillas",IF(AND(F71="no"),"-"))</f>
        <v>varillas</v>
      </c>
      <c r="G459" s="2"/>
      <c r="H459" s="2"/>
      <c r="I459" s="2"/>
    </row>
    <row r="460" spans="1:9" x14ac:dyDescent="0.25">
      <c r="A460" s="2"/>
      <c r="B460" s="2"/>
      <c r="C460" s="252" t="str">
        <f t="shared" si="11"/>
        <v>Acero de</v>
      </c>
      <c r="D460" s="253" t="str">
        <f t="shared" si="11"/>
        <v>5/8"</v>
      </c>
      <c r="E460" s="251">
        <f t="shared" si="13"/>
        <v>19.150916380297826</v>
      </c>
      <c r="F460" s="95" t="str">
        <f t="shared" ref="F460:F462" si="14">IF(F72="si","varillas",IF(AND(F72="no"),"-"))</f>
        <v>varillas</v>
      </c>
      <c r="G460" s="2"/>
      <c r="H460" s="2"/>
      <c r="I460" s="2"/>
    </row>
    <row r="461" spans="1:9" x14ac:dyDescent="0.25">
      <c r="A461" s="2"/>
      <c r="B461" s="2"/>
      <c r="C461" s="252" t="str">
        <f t="shared" si="11"/>
        <v>-</v>
      </c>
      <c r="D461" s="253" t="str">
        <f t="shared" si="11"/>
        <v>-</v>
      </c>
      <c r="E461" s="251">
        <f t="shared" si="13"/>
        <v>0</v>
      </c>
      <c r="F461" s="95" t="str">
        <f t="shared" si="14"/>
        <v>-</v>
      </c>
      <c r="G461" s="2"/>
      <c r="H461" s="2"/>
      <c r="I461" s="2"/>
    </row>
    <row r="462" spans="1:9" x14ac:dyDescent="0.25">
      <c r="A462" s="2"/>
      <c r="B462" s="2"/>
      <c r="C462" s="252" t="str">
        <f t="shared" si="11"/>
        <v>-</v>
      </c>
      <c r="D462" s="253" t="str">
        <f t="shared" si="11"/>
        <v>-</v>
      </c>
      <c r="E462" s="251">
        <f t="shared" si="13"/>
        <v>0</v>
      </c>
      <c r="F462" s="95" t="str">
        <f t="shared" si="14"/>
        <v>-</v>
      </c>
      <c r="G462" s="2"/>
      <c r="H462" s="2"/>
      <c r="I462" s="2"/>
    </row>
    <row r="463" spans="1:9" x14ac:dyDescent="0.25">
      <c r="A463" s="2"/>
      <c r="B463" s="2"/>
      <c r="C463" s="446" t="s">
        <v>275</v>
      </c>
      <c r="D463" s="447"/>
      <c r="E463" s="251">
        <f>F303</f>
        <v>55.125</v>
      </c>
      <c r="F463" s="95" t="s">
        <v>169</v>
      </c>
      <c r="G463" s="2"/>
      <c r="H463" s="2"/>
      <c r="I463" s="2"/>
    </row>
    <row r="464" spans="1:9" x14ac:dyDescent="0.25">
      <c r="A464" s="2"/>
      <c r="B464" s="2"/>
      <c r="C464" s="446" t="s">
        <v>276</v>
      </c>
      <c r="D464" s="447"/>
      <c r="E464" s="251">
        <f>F253</f>
        <v>25.2</v>
      </c>
      <c r="F464" s="95" t="s">
        <v>169</v>
      </c>
      <c r="G464" s="2"/>
      <c r="H464" s="2"/>
      <c r="I464" s="2"/>
    </row>
    <row r="465" spans="1:9" ht="18.75" x14ac:dyDescent="0.3">
      <c r="A465" s="2"/>
      <c r="B465" s="2"/>
      <c r="C465" s="579" t="s">
        <v>239</v>
      </c>
      <c r="D465" s="629"/>
      <c r="E465" s="251">
        <f>F251</f>
        <v>371.28000000000003</v>
      </c>
      <c r="F465" s="95" t="s">
        <v>320</v>
      </c>
      <c r="G465" s="2"/>
      <c r="H465" s="2"/>
      <c r="I465" s="2"/>
    </row>
    <row r="466" spans="1:9" x14ac:dyDescent="0.25">
      <c r="A466" s="2"/>
      <c r="B466" s="2"/>
      <c r="C466" s="446" t="s">
        <v>240</v>
      </c>
      <c r="D466" s="447"/>
      <c r="E466" s="251">
        <f>F252</f>
        <v>14.280000000000001</v>
      </c>
      <c r="F466" s="95" t="s">
        <v>169</v>
      </c>
      <c r="G466" s="2"/>
      <c r="H466" s="2"/>
      <c r="I466" s="2"/>
    </row>
    <row r="467" spans="1:9" x14ac:dyDescent="0.25">
      <c r="A467" s="2"/>
      <c r="B467" s="2"/>
      <c r="C467" s="448" t="s">
        <v>65</v>
      </c>
      <c r="D467" s="449"/>
      <c r="E467" s="450" t="s">
        <v>87</v>
      </c>
      <c r="F467" s="451"/>
      <c r="G467" s="2"/>
      <c r="H467" s="2"/>
      <c r="I467" s="2"/>
    </row>
    <row r="468" spans="1:9" x14ac:dyDescent="0.25">
      <c r="A468" s="2"/>
      <c r="B468" s="2"/>
      <c r="C468" s="446" t="s">
        <v>11</v>
      </c>
      <c r="D468" s="447"/>
      <c r="E468" s="156">
        <f>G317*E431+G328*E434+G338*E437</f>
        <v>12.375873015873015</v>
      </c>
      <c r="F468" s="157" t="s">
        <v>177</v>
      </c>
      <c r="G468" s="2"/>
      <c r="H468" s="2"/>
      <c r="I468" s="2"/>
    </row>
    <row r="469" spans="1:9" x14ac:dyDescent="0.25">
      <c r="A469" s="2"/>
      <c r="B469" s="2"/>
      <c r="C469" s="446" t="s">
        <v>12</v>
      </c>
      <c r="D469" s="447"/>
      <c r="E469" s="156">
        <f>G318*E431+G329*E434+G339*E437</f>
        <v>123.75873015873015</v>
      </c>
      <c r="F469" s="157" t="s">
        <v>177</v>
      </c>
      <c r="G469" s="2"/>
      <c r="H469" s="2"/>
      <c r="I469" s="2"/>
    </row>
    <row r="470" spans="1:9" x14ac:dyDescent="0.25">
      <c r="A470" s="2"/>
      <c r="B470" s="2"/>
      <c r="C470" s="446" t="s">
        <v>13</v>
      </c>
      <c r="D470" s="447"/>
      <c r="E470" s="156">
        <f>G319*E431+G330*E434+G340*E437</f>
        <v>123.75873015873015</v>
      </c>
      <c r="F470" s="157" t="s">
        <v>177</v>
      </c>
      <c r="G470" s="2"/>
      <c r="H470" s="2"/>
      <c r="I470" s="2"/>
    </row>
    <row r="471" spans="1:9" x14ac:dyDescent="0.25">
      <c r="A471" s="2"/>
      <c r="B471" s="2"/>
      <c r="C471" s="446" t="s">
        <v>14</v>
      </c>
      <c r="D471" s="447"/>
      <c r="E471" s="156">
        <f>G320*E431+G331*E434+G341*E437</f>
        <v>302.80634920634918</v>
      </c>
      <c r="F471" s="157" t="s">
        <v>177</v>
      </c>
      <c r="G471" s="2"/>
      <c r="H471" s="2"/>
      <c r="I471" s="2"/>
    </row>
    <row r="472" spans="1:9" x14ac:dyDescent="0.25">
      <c r="A472" s="2"/>
      <c r="B472" s="2"/>
      <c r="C472" s="446" t="s">
        <v>25</v>
      </c>
      <c r="D472" s="447"/>
      <c r="E472" s="156">
        <f>G321*E431</f>
        <v>22.222222222222221</v>
      </c>
      <c r="F472" s="157" t="s">
        <v>177</v>
      </c>
      <c r="G472" s="2"/>
      <c r="H472" s="2"/>
      <c r="I472" s="2"/>
    </row>
    <row r="473" spans="1:9" x14ac:dyDescent="0.25">
      <c r="A473" s="2"/>
      <c r="B473" s="2"/>
      <c r="C473" s="448" t="s">
        <v>277</v>
      </c>
      <c r="D473" s="449"/>
      <c r="E473" s="450" t="s">
        <v>87</v>
      </c>
      <c r="F473" s="451"/>
      <c r="G473" s="2"/>
      <c r="H473" s="2"/>
      <c r="I473" s="2"/>
    </row>
    <row r="474" spans="1:9" x14ac:dyDescent="0.25">
      <c r="A474" s="2"/>
      <c r="B474" s="2"/>
      <c r="C474" s="452" t="s">
        <v>241</v>
      </c>
      <c r="D474" s="534"/>
      <c r="E474" s="156">
        <f>G351*E431</f>
        <v>22.222222222222221</v>
      </c>
      <c r="F474" s="157" t="s">
        <v>178</v>
      </c>
      <c r="G474" s="2"/>
      <c r="H474" s="2"/>
      <c r="I474" s="2"/>
    </row>
    <row r="475" spans="1:9" x14ac:dyDescent="0.25">
      <c r="A475" s="2"/>
      <c r="B475" s="2"/>
      <c r="C475" s="452" t="s">
        <v>299</v>
      </c>
      <c r="D475" s="452"/>
      <c r="E475" s="156">
        <f>G353*E431</f>
        <v>22.222222222222221</v>
      </c>
      <c r="F475" s="157" t="s">
        <v>178</v>
      </c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</sheetData>
  <mergeCells count="302">
    <mergeCell ref="B1:G2"/>
    <mergeCell ref="A14:C14"/>
    <mergeCell ref="C21:H21"/>
    <mergeCell ref="C22:C23"/>
    <mergeCell ref="D22:D23"/>
    <mergeCell ref="E22:H22"/>
    <mergeCell ref="B68:B73"/>
    <mergeCell ref="D70:E70"/>
    <mergeCell ref="D71:E71"/>
    <mergeCell ref="D72:E72"/>
    <mergeCell ref="D73:E73"/>
    <mergeCell ref="B27:B31"/>
    <mergeCell ref="G31:H32"/>
    <mergeCell ref="B39:B41"/>
    <mergeCell ref="G45:H46"/>
    <mergeCell ref="H48:I49"/>
    <mergeCell ref="C55:H55"/>
    <mergeCell ref="D74:E74"/>
    <mergeCell ref="F77:H77"/>
    <mergeCell ref="D80:E80"/>
    <mergeCell ref="D81:E81"/>
    <mergeCell ref="D82:E82"/>
    <mergeCell ref="H85:H87"/>
    <mergeCell ref="C56:C57"/>
    <mergeCell ref="D56:E56"/>
    <mergeCell ref="F56:H56"/>
    <mergeCell ref="F67:H68"/>
    <mergeCell ref="H91:H93"/>
    <mergeCell ref="B98:G98"/>
    <mergeCell ref="A99:A100"/>
    <mergeCell ref="B99:C100"/>
    <mergeCell ref="D99:H99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B124:C124"/>
    <mergeCell ref="B125:C125"/>
    <mergeCell ref="B126:C126"/>
    <mergeCell ref="B127:C127"/>
    <mergeCell ref="B128:C128"/>
    <mergeCell ref="B129:C129"/>
    <mergeCell ref="H112:H115"/>
    <mergeCell ref="G118:H118"/>
    <mergeCell ref="D122:G122"/>
    <mergeCell ref="B123:C123"/>
    <mergeCell ref="E123:F123"/>
    <mergeCell ref="G123:H123"/>
    <mergeCell ref="G144:H144"/>
    <mergeCell ref="B145:C145"/>
    <mergeCell ref="B146:C146"/>
    <mergeCell ref="B149:D149"/>
    <mergeCell ref="F149:G150"/>
    <mergeCell ref="B155:G155"/>
    <mergeCell ref="B137:C137"/>
    <mergeCell ref="B138:C138"/>
    <mergeCell ref="B139:C139"/>
    <mergeCell ref="B140:C140"/>
    <mergeCell ref="B144:C144"/>
    <mergeCell ref="E144:F144"/>
    <mergeCell ref="B165:D165"/>
    <mergeCell ref="B166:D166"/>
    <mergeCell ref="B167:D167"/>
    <mergeCell ref="B168:D168"/>
    <mergeCell ref="B169:D169"/>
    <mergeCell ref="B171:G171"/>
    <mergeCell ref="B156:G156"/>
    <mergeCell ref="B157:D157"/>
    <mergeCell ref="B158:D158"/>
    <mergeCell ref="B159:D159"/>
    <mergeCell ref="B163:C163"/>
    <mergeCell ref="B164:C164"/>
    <mergeCell ref="C199:D199"/>
    <mergeCell ref="B200:B203"/>
    <mergeCell ref="C200:D200"/>
    <mergeCell ref="C201:D201"/>
    <mergeCell ref="C202:D202"/>
    <mergeCell ref="C203:D203"/>
    <mergeCell ref="B177:D177"/>
    <mergeCell ref="B178:D178"/>
    <mergeCell ref="B179:G179"/>
    <mergeCell ref="B183:C183"/>
    <mergeCell ref="E183:F184"/>
    <mergeCell ref="G189:H191"/>
    <mergeCell ref="C221:E221"/>
    <mergeCell ref="C222:D222"/>
    <mergeCell ref="C226:E226"/>
    <mergeCell ref="B233:H233"/>
    <mergeCell ref="C244:G244"/>
    <mergeCell ref="B249:H249"/>
    <mergeCell ref="C206:D206"/>
    <mergeCell ref="C207:D207"/>
    <mergeCell ref="C208:D208"/>
    <mergeCell ref="A212:C212"/>
    <mergeCell ref="C218:D218"/>
    <mergeCell ref="B220:G220"/>
    <mergeCell ref="C266:D266"/>
    <mergeCell ref="C267:D267"/>
    <mergeCell ref="C268:D268"/>
    <mergeCell ref="C269:D269"/>
    <mergeCell ref="C270:D270"/>
    <mergeCell ref="C274:D274"/>
    <mergeCell ref="D250:E250"/>
    <mergeCell ref="C259:G259"/>
    <mergeCell ref="C261:D261"/>
    <mergeCell ref="C263:G263"/>
    <mergeCell ref="C264:D264"/>
    <mergeCell ref="C265:D265"/>
    <mergeCell ref="C284:D284"/>
    <mergeCell ref="B288:H288"/>
    <mergeCell ref="D289:E289"/>
    <mergeCell ref="D290:E290"/>
    <mergeCell ref="C296:D296"/>
    <mergeCell ref="C297:D297"/>
    <mergeCell ref="C275:D275"/>
    <mergeCell ref="C276:D276"/>
    <mergeCell ref="C277:D277"/>
    <mergeCell ref="C278:D278"/>
    <mergeCell ref="C282:D282"/>
    <mergeCell ref="C283:D283"/>
    <mergeCell ref="A307:D307"/>
    <mergeCell ref="D311:E311"/>
    <mergeCell ref="C314:D314"/>
    <mergeCell ref="C315:D316"/>
    <mergeCell ref="E315:E316"/>
    <mergeCell ref="F315:F316"/>
    <mergeCell ref="C298:D298"/>
    <mergeCell ref="C299:D299"/>
    <mergeCell ref="C300:D300"/>
    <mergeCell ref="C301:D301"/>
    <mergeCell ref="C302:D302"/>
    <mergeCell ref="C303:D303"/>
    <mergeCell ref="C328:D331"/>
    <mergeCell ref="C335:D335"/>
    <mergeCell ref="C336:D337"/>
    <mergeCell ref="E336:E337"/>
    <mergeCell ref="F336:F337"/>
    <mergeCell ref="G336:G337"/>
    <mergeCell ref="G315:G316"/>
    <mergeCell ref="C317:D318"/>
    <mergeCell ref="C320:D320"/>
    <mergeCell ref="C321:D321"/>
    <mergeCell ref="C325:D325"/>
    <mergeCell ref="C326:D327"/>
    <mergeCell ref="E326:E327"/>
    <mergeCell ref="F326:F327"/>
    <mergeCell ref="G326:G327"/>
    <mergeCell ref="G351:G352"/>
    <mergeCell ref="E353:E354"/>
    <mergeCell ref="F353:F354"/>
    <mergeCell ref="G353:G354"/>
    <mergeCell ref="C354:D354"/>
    <mergeCell ref="C338:D341"/>
    <mergeCell ref="C348:D348"/>
    <mergeCell ref="C349:D350"/>
    <mergeCell ref="E349:E350"/>
    <mergeCell ref="F349:F350"/>
    <mergeCell ref="G349:G350"/>
    <mergeCell ref="C361:D361"/>
    <mergeCell ref="E361:F361"/>
    <mergeCell ref="C362:D362"/>
    <mergeCell ref="A365:B365"/>
    <mergeCell ref="C365:E365"/>
    <mergeCell ref="A368:B368"/>
    <mergeCell ref="C351:D352"/>
    <mergeCell ref="E351:E352"/>
    <mergeCell ref="F351:F352"/>
    <mergeCell ref="G368:H368"/>
    <mergeCell ref="A369:H369"/>
    <mergeCell ref="A370:B370"/>
    <mergeCell ref="G370:G374"/>
    <mergeCell ref="H370:H374"/>
    <mergeCell ref="A371:B371"/>
    <mergeCell ref="A372:B372"/>
    <mergeCell ref="A373:B373"/>
    <mergeCell ref="A374:B374"/>
    <mergeCell ref="A382:H382"/>
    <mergeCell ref="A383:B383"/>
    <mergeCell ref="G383:G385"/>
    <mergeCell ref="H383:H385"/>
    <mergeCell ref="A384:B384"/>
    <mergeCell ref="A385:B385"/>
    <mergeCell ref="A375:H375"/>
    <mergeCell ref="A376:B376"/>
    <mergeCell ref="G376:G381"/>
    <mergeCell ref="H376:H381"/>
    <mergeCell ref="A377:B377"/>
    <mergeCell ref="A378:B378"/>
    <mergeCell ref="A379:B379"/>
    <mergeCell ref="A380:B380"/>
    <mergeCell ref="A381:B381"/>
    <mergeCell ref="A398:H398"/>
    <mergeCell ref="A399:B399"/>
    <mergeCell ref="G399:G401"/>
    <mergeCell ref="H399:H401"/>
    <mergeCell ref="A400:B400"/>
    <mergeCell ref="A401:B401"/>
    <mergeCell ref="A389:B389"/>
    <mergeCell ref="A392:B392"/>
    <mergeCell ref="G392:H392"/>
    <mergeCell ref="A393:H393"/>
    <mergeCell ref="A394:B394"/>
    <mergeCell ref="G394:G397"/>
    <mergeCell ref="H394:H397"/>
    <mergeCell ref="A395:B395"/>
    <mergeCell ref="A396:B396"/>
    <mergeCell ref="A397:B397"/>
    <mergeCell ref="A412:B412"/>
    <mergeCell ref="G412:G415"/>
    <mergeCell ref="H412:H415"/>
    <mergeCell ref="A413:B413"/>
    <mergeCell ref="A414:B414"/>
    <mergeCell ref="A415:B415"/>
    <mergeCell ref="A402:H402"/>
    <mergeCell ref="A403:B403"/>
    <mergeCell ref="A407:B407"/>
    <mergeCell ref="A410:B410"/>
    <mergeCell ref="G410:H410"/>
    <mergeCell ref="A411:H411"/>
    <mergeCell ref="A420:B420"/>
    <mergeCell ref="C426:D426"/>
    <mergeCell ref="E426:F426"/>
    <mergeCell ref="C427:D427"/>
    <mergeCell ref="B429:C430"/>
    <mergeCell ref="D429:D430"/>
    <mergeCell ref="E429:E430"/>
    <mergeCell ref="F429:F430"/>
    <mergeCell ref="A416:H416"/>
    <mergeCell ref="A417:B417"/>
    <mergeCell ref="G417:G418"/>
    <mergeCell ref="H417:H418"/>
    <mergeCell ref="A418:B418"/>
    <mergeCell ref="A419:H419"/>
    <mergeCell ref="B434:C436"/>
    <mergeCell ref="D434:D436"/>
    <mergeCell ref="E434:E436"/>
    <mergeCell ref="F434:F436"/>
    <mergeCell ref="G434:G436"/>
    <mergeCell ref="H434:H436"/>
    <mergeCell ref="G429:H430"/>
    <mergeCell ref="B431:C431"/>
    <mergeCell ref="D431:D433"/>
    <mergeCell ref="E431:E433"/>
    <mergeCell ref="F431:F433"/>
    <mergeCell ref="G431:G433"/>
    <mergeCell ref="H431:H433"/>
    <mergeCell ref="B433:C433"/>
    <mergeCell ref="B440:F440"/>
    <mergeCell ref="G440:G441"/>
    <mergeCell ref="H440:H441"/>
    <mergeCell ref="C446:D446"/>
    <mergeCell ref="E446:F446"/>
    <mergeCell ref="C447:D447"/>
    <mergeCell ref="B437:C439"/>
    <mergeCell ref="D437:D439"/>
    <mergeCell ref="E437:E439"/>
    <mergeCell ref="F437:F439"/>
    <mergeCell ref="G437:G439"/>
    <mergeCell ref="H437:H439"/>
    <mergeCell ref="C454:D454"/>
    <mergeCell ref="C455:D455"/>
    <mergeCell ref="C463:D463"/>
    <mergeCell ref="C464:D464"/>
    <mergeCell ref="C465:D465"/>
    <mergeCell ref="C466:D466"/>
    <mergeCell ref="C449:D449"/>
    <mergeCell ref="E449:F449"/>
    <mergeCell ref="C450:D450"/>
    <mergeCell ref="C451:D451"/>
    <mergeCell ref="C452:D452"/>
    <mergeCell ref="C453:D453"/>
    <mergeCell ref="C472:D472"/>
    <mergeCell ref="C473:D473"/>
    <mergeCell ref="E473:F473"/>
    <mergeCell ref="C474:D474"/>
    <mergeCell ref="C475:D475"/>
    <mergeCell ref="C467:D467"/>
    <mergeCell ref="E467:F467"/>
    <mergeCell ref="C468:D468"/>
    <mergeCell ref="C469:D469"/>
    <mergeCell ref="C470:D470"/>
    <mergeCell ref="C471:D471"/>
  </mergeCells>
  <dataValidations count="7">
    <dataValidation type="list" allowBlank="1" showInputMessage="1" showErrorMessage="1" sqref="D183" xr:uid="{00000000-0002-0000-0500-000000000000}">
      <formula1>$A$181:$A$182</formula1>
    </dataValidation>
    <dataValidation type="list" allowBlank="1" showInputMessage="1" showErrorMessage="1" sqref="E149" xr:uid="{00000000-0002-0000-0500-000001000000}">
      <formula1>$B$147:$B$148</formula1>
    </dataValidation>
    <dataValidation type="list" allowBlank="1" showInputMessage="1" showErrorMessage="1" sqref="G50" xr:uid="{00000000-0002-0000-0500-000002000000}">
      <formula1>$B$48:$B$49</formula1>
    </dataValidation>
    <dataValidation type="list" allowBlank="1" showInputMessage="1" showErrorMessage="1" sqref="G48:G49" xr:uid="{00000000-0002-0000-0500-000003000000}">
      <formula1>$B$47:$B$48</formula1>
    </dataValidation>
    <dataValidation type="list" allowBlank="1" showInputMessage="1" showErrorMessage="1" sqref="E31" xr:uid="{00000000-0002-0000-0500-000004000000}">
      <formula1>$C$24:$C$28</formula1>
    </dataValidation>
    <dataValidation type="list" allowBlank="1" showInputMessage="1" showErrorMessage="1" sqref="F113:F114" xr:uid="{00000000-0002-0000-0500-000005000000}">
      <formula1>$B$113:$B$115</formula1>
    </dataValidation>
    <dataValidation type="list" allowBlank="1" showInputMessage="1" showErrorMessage="1" sqref="F70:F75 F80:F82" xr:uid="{00000000-0002-0000-0500-000006000000}">
      <formula1>$C$70:$C$71</formula1>
    </dataValidation>
  </dataValidation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CC00"/>
  </sheetPr>
  <dimension ref="A1:R478"/>
  <sheetViews>
    <sheetView workbookViewId="0">
      <selection activeCell="K21" sqref="K21"/>
    </sheetView>
  </sheetViews>
  <sheetFormatPr baseColWidth="10" defaultRowHeight="15" x14ac:dyDescent="0.25"/>
  <cols>
    <col min="1" max="1" width="8.28515625" customWidth="1"/>
    <col min="2" max="2" width="10.42578125" customWidth="1"/>
    <col min="3" max="3" width="11.28515625" customWidth="1"/>
    <col min="4" max="4" width="12" customWidth="1"/>
    <col min="5" max="6" width="13.42578125" customWidth="1"/>
    <col min="7" max="7" width="11.85546875" customWidth="1"/>
    <col min="8" max="8" width="10.85546875" customWidth="1"/>
  </cols>
  <sheetData>
    <row r="1" spans="1:9" ht="15" customHeight="1" x14ac:dyDescent="0.25">
      <c r="A1" s="1"/>
      <c r="B1" s="799" t="s">
        <v>672</v>
      </c>
      <c r="C1" s="800"/>
      <c r="D1" s="800"/>
      <c r="E1" s="800"/>
      <c r="F1" s="800"/>
      <c r="G1" s="801"/>
      <c r="H1" s="2"/>
      <c r="I1" s="2"/>
    </row>
    <row r="2" spans="1:9" ht="15" customHeight="1" thickBot="1" x14ac:dyDescent="0.3">
      <c r="A2" s="3"/>
      <c r="B2" s="802"/>
      <c r="C2" s="803"/>
      <c r="D2" s="803"/>
      <c r="E2" s="803"/>
      <c r="F2" s="803"/>
      <c r="G2" s="804"/>
      <c r="H2" s="2"/>
      <c r="I2" s="2"/>
    </row>
    <row r="3" spans="1:9" ht="15" customHeight="1" x14ac:dyDescent="0.25">
      <c r="A3" s="3"/>
      <c r="B3" s="163"/>
      <c r="C3" s="163"/>
      <c r="D3" s="163"/>
      <c r="E3" s="163"/>
      <c r="F3" s="163"/>
      <c r="G3" s="163"/>
      <c r="H3" s="2"/>
      <c r="I3" s="2"/>
    </row>
    <row r="4" spans="1:9" ht="15" customHeight="1" x14ac:dyDescent="0.25">
      <c r="A4" s="3"/>
      <c r="B4" s="163"/>
      <c r="C4" s="163"/>
      <c r="D4" s="163"/>
      <c r="E4" s="163"/>
      <c r="F4" s="163"/>
      <c r="G4" s="163"/>
      <c r="H4" s="2"/>
      <c r="I4" s="2"/>
    </row>
    <row r="5" spans="1:9" ht="15" customHeight="1" x14ac:dyDescent="0.25">
      <c r="A5" s="3"/>
      <c r="B5" s="163"/>
      <c r="C5" s="163"/>
      <c r="D5" s="163"/>
      <c r="E5" s="163"/>
      <c r="F5" s="163"/>
      <c r="G5" s="163"/>
      <c r="H5" s="2"/>
      <c r="I5" s="2"/>
    </row>
    <row r="6" spans="1:9" ht="15" customHeight="1" x14ac:dyDescent="0.25">
      <c r="A6" s="3"/>
      <c r="B6" s="163"/>
      <c r="C6" s="163"/>
      <c r="D6" s="163"/>
      <c r="E6" s="163"/>
      <c r="F6" s="163"/>
      <c r="G6" s="163"/>
      <c r="H6" s="2"/>
      <c r="I6" s="2"/>
    </row>
    <row r="7" spans="1:9" ht="15" customHeight="1" x14ac:dyDescent="0.25">
      <c r="A7" s="3"/>
      <c r="B7" s="163"/>
      <c r="C7" s="163"/>
      <c r="D7" s="163"/>
      <c r="E7" s="163"/>
      <c r="F7" s="163"/>
      <c r="G7" s="163"/>
      <c r="H7" s="2"/>
      <c r="I7" s="2"/>
    </row>
    <row r="8" spans="1:9" ht="15" customHeight="1" x14ac:dyDescent="0.25">
      <c r="A8" s="3"/>
      <c r="B8" s="163"/>
      <c r="C8" s="163"/>
      <c r="D8" s="163"/>
      <c r="E8" s="163"/>
      <c r="F8" s="163"/>
      <c r="G8" s="163"/>
      <c r="H8" s="2"/>
      <c r="I8" s="2"/>
    </row>
    <row r="9" spans="1:9" ht="15" customHeight="1" x14ac:dyDescent="0.25">
      <c r="A9" s="3"/>
      <c r="B9" s="163"/>
      <c r="C9" s="163"/>
      <c r="D9" s="163"/>
      <c r="E9" s="163"/>
      <c r="F9" s="163"/>
      <c r="G9" s="163"/>
      <c r="H9" s="2"/>
      <c r="I9" s="2"/>
    </row>
    <row r="10" spans="1:9" ht="15" customHeight="1" x14ac:dyDescent="0.25">
      <c r="A10" s="3"/>
      <c r="B10" s="163"/>
      <c r="C10" s="163"/>
      <c r="D10" s="163"/>
      <c r="E10" s="163"/>
      <c r="F10" s="163"/>
      <c r="G10" s="163"/>
      <c r="H10" s="2"/>
      <c r="I10" s="2"/>
    </row>
    <row r="11" spans="1:9" ht="15" customHeight="1" x14ac:dyDescent="0.25">
      <c r="A11" s="3"/>
      <c r="B11" s="163"/>
      <c r="C11" s="163"/>
      <c r="D11" s="163"/>
      <c r="E11" s="163"/>
      <c r="F11" s="163"/>
      <c r="G11" s="163"/>
      <c r="H11" s="2"/>
      <c r="I11" s="2"/>
    </row>
    <row r="12" spans="1:9" ht="15" customHeight="1" x14ac:dyDescent="0.25">
      <c r="A12" s="3"/>
      <c r="B12" s="163"/>
      <c r="C12" s="163"/>
      <c r="D12" s="163"/>
      <c r="E12" s="163"/>
      <c r="F12" s="163"/>
      <c r="G12" s="163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ht="15.75" x14ac:dyDescent="0.25">
      <c r="A14" s="797" t="s">
        <v>0</v>
      </c>
      <c r="B14" s="797"/>
      <c r="C14" s="797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393" t="s">
        <v>183</v>
      </c>
      <c r="B16" s="393"/>
      <c r="C16" s="393"/>
      <c r="D16" s="22"/>
      <c r="E16" s="167" t="s">
        <v>323</v>
      </c>
      <c r="F16" s="2"/>
      <c r="G16" s="2"/>
      <c r="H16" s="2"/>
      <c r="I16" s="2"/>
    </row>
    <row r="17" spans="1:9" x14ac:dyDescent="0.25">
      <c r="A17" s="22"/>
      <c r="B17" s="2"/>
      <c r="C17" s="2"/>
      <c r="D17" s="168"/>
      <c r="E17" s="168"/>
      <c r="F17" s="168"/>
      <c r="G17" s="168"/>
      <c r="H17" s="168"/>
      <c r="I17" s="2"/>
    </row>
    <row r="18" spans="1:9" x14ac:dyDescent="0.25">
      <c r="A18" s="22"/>
      <c r="B18" s="2"/>
      <c r="C18" s="2"/>
      <c r="D18" s="168"/>
      <c r="E18" s="168"/>
      <c r="F18" s="168"/>
      <c r="G18" s="168"/>
      <c r="H18" s="168"/>
      <c r="I18" s="2"/>
    </row>
    <row r="19" spans="1:9" x14ac:dyDescent="0.25">
      <c r="A19" s="2"/>
      <c r="B19" s="100" t="s">
        <v>184</v>
      </c>
      <c r="C19" s="101"/>
      <c r="D19" s="104" t="s">
        <v>185</v>
      </c>
      <c r="E19" s="2"/>
      <c r="F19" s="2"/>
      <c r="G19" s="2"/>
      <c r="H19" s="2"/>
      <c r="I19" s="2"/>
    </row>
    <row r="20" spans="1:9" x14ac:dyDescent="0.25">
      <c r="A20" s="2"/>
      <c r="B20" s="22"/>
      <c r="C20" s="2"/>
      <c r="D20" s="104"/>
      <c r="E20" s="2"/>
      <c r="F20" s="2"/>
      <c r="G20" s="2"/>
      <c r="H20" s="2"/>
      <c r="I20" s="2"/>
    </row>
    <row r="21" spans="1:9" x14ac:dyDescent="0.25">
      <c r="A21" s="2"/>
      <c r="B21" s="2"/>
      <c r="C21" s="537" t="s">
        <v>186</v>
      </c>
      <c r="D21" s="537"/>
      <c r="E21" s="537"/>
      <c r="F21" s="537"/>
      <c r="G21" s="537"/>
      <c r="H21" s="537"/>
      <c r="I21" s="2"/>
    </row>
    <row r="22" spans="1:9" ht="15.75" x14ac:dyDescent="0.25">
      <c r="A22" s="2"/>
      <c r="B22" s="2"/>
      <c r="C22" s="507" t="s">
        <v>278</v>
      </c>
      <c r="D22" s="504" t="s">
        <v>187</v>
      </c>
      <c r="E22" s="497" t="s">
        <v>279</v>
      </c>
      <c r="F22" s="497"/>
      <c r="G22" s="497"/>
      <c r="H22" s="497"/>
      <c r="I22" s="2"/>
    </row>
    <row r="23" spans="1:9" x14ac:dyDescent="0.25">
      <c r="A23" s="2"/>
      <c r="B23" s="2"/>
      <c r="C23" s="507"/>
      <c r="D23" s="504"/>
      <c r="E23" s="169" t="s">
        <v>188</v>
      </c>
      <c r="F23" s="169" t="s">
        <v>280</v>
      </c>
      <c r="G23" s="169" t="s">
        <v>281</v>
      </c>
      <c r="H23" s="169" t="s">
        <v>282</v>
      </c>
      <c r="I23" s="2"/>
    </row>
    <row r="24" spans="1:9" x14ac:dyDescent="0.25">
      <c r="A24" s="2"/>
      <c r="B24" s="2"/>
      <c r="C24" s="11">
        <v>140</v>
      </c>
      <c r="D24" s="11" t="s">
        <v>189</v>
      </c>
      <c r="E24" s="12">
        <v>7.01</v>
      </c>
      <c r="F24" s="12">
        <v>0.56000000000000005</v>
      </c>
      <c r="G24" s="12">
        <v>0.64</v>
      </c>
      <c r="H24" s="170">
        <v>0.184</v>
      </c>
      <c r="I24" s="2"/>
    </row>
    <row r="25" spans="1:9" x14ac:dyDescent="0.25">
      <c r="A25" s="2"/>
      <c r="B25" s="2"/>
      <c r="C25" s="11">
        <v>175</v>
      </c>
      <c r="D25" s="11" t="s">
        <v>190</v>
      </c>
      <c r="E25" s="12">
        <v>8.43</v>
      </c>
      <c r="F25" s="12">
        <v>0.54</v>
      </c>
      <c r="G25" s="12">
        <v>0.55000000000000004</v>
      </c>
      <c r="H25" s="170">
        <v>0.185</v>
      </c>
      <c r="I25" s="2"/>
    </row>
    <row r="26" spans="1:9" x14ac:dyDescent="0.25">
      <c r="A26" s="2"/>
      <c r="B26" s="2"/>
      <c r="C26" s="11">
        <v>210</v>
      </c>
      <c r="D26" s="171" t="s">
        <v>283</v>
      </c>
      <c r="E26" s="12">
        <v>9.73</v>
      </c>
      <c r="F26" s="12">
        <v>0.52</v>
      </c>
      <c r="G26" s="12">
        <v>0.53</v>
      </c>
      <c r="H26" s="170">
        <v>0.186</v>
      </c>
      <c r="I26" s="2"/>
    </row>
    <row r="27" spans="1:9" x14ac:dyDescent="0.25">
      <c r="A27" s="2"/>
      <c r="B27" s="545" t="s">
        <v>673</v>
      </c>
      <c r="C27" s="11">
        <v>245</v>
      </c>
      <c r="D27" s="171" t="s">
        <v>191</v>
      </c>
      <c r="E27" s="12">
        <v>11.5</v>
      </c>
      <c r="F27" s="12">
        <v>0.5</v>
      </c>
      <c r="G27" s="12">
        <v>0.51</v>
      </c>
      <c r="H27" s="170">
        <v>0.187</v>
      </c>
      <c r="I27" s="2"/>
    </row>
    <row r="28" spans="1:9" ht="15" customHeight="1" x14ac:dyDescent="0.25">
      <c r="A28" s="2"/>
      <c r="B28" s="545"/>
      <c r="C28" s="11">
        <v>280</v>
      </c>
      <c r="D28" s="171" t="s">
        <v>284</v>
      </c>
      <c r="E28" s="12">
        <v>13.34</v>
      </c>
      <c r="F28" s="12">
        <v>0.45</v>
      </c>
      <c r="G28" s="12">
        <v>0.51</v>
      </c>
      <c r="H28" s="170">
        <v>0.189</v>
      </c>
      <c r="I28" s="2"/>
    </row>
    <row r="29" spans="1:9" x14ac:dyDescent="0.25">
      <c r="A29" s="2"/>
      <c r="B29" s="545"/>
      <c r="C29" s="172" t="s">
        <v>285</v>
      </c>
      <c r="D29" s="68"/>
      <c r="E29" s="68"/>
      <c r="F29" s="68"/>
      <c r="G29" s="68"/>
      <c r="H29" s="68"/>
      <c r="I29" s="2"/>
    </row>
    <row r="30" spans="1:9" x14ac:dyDescent="0.25">
      <c r="A30" s="2"/>
      <c r="B30" s="545"/>
      <c r="C30" s="98"/>
      <c r="D30" s="68"/>
      <c r="E30" s="68"/>
      <c r="F30" s="68"/>
      <c r="G30" s="68"/>
      <c r="H30" s="68"/>
      <c r="I30" s="2"/>
    </row>
    <row r="31" spans="1:9" x14ac:dyDescent="0.25">
      <c r="A31" s="2"/>
      <c r="B31" s="545"/>
      <c r="C31" s="6" t="s">
        <v>192</v>
      </c>
      <c r="D31" s="68"/>
      <c r="E31" s="17">
        <v>210</v>
      </c>
      <c r="F31" s="35" t="s">
        <v>193</v>
      </c>
      <c r="G31" s="673" t="s">
        <v>403</v>
      </c>
      <c r="H31" s="673"/>
      <c r="I31" s="2"/>
    </row>
    <row r="32" spans="1:9" x14ac:dyDescent="0.25">
      <c r="A32" s="2"/>
      <c r="B32" s="2"/>
      <c r="C32" s="173"/>
      <c r="D32" s="2"/>
      <c r="E32" s="2"/>
      <c r="F32" s="2"/>
      <c r="G32" s="673"/>
      <c r="H32" s="673"/>
      <c r="I32" s="2"/>
    </row>
    <row r="33" spans="1:10" x14ac:dyDescent="0.25">
      <c r="A33" s="2"/>
      <c r="B33" s="2"/>
      <c r="C33" s="173"/>
      <c r="D33" s="2"/>
      <c r="E33" s="2"/>
      <c r="F33" s="2"/>
      <c r="G33" s="174"/>
      <c r="H33" s="174"/>
      <c r="I33" s="2"/>
    </row>
    <row r="34" spans="1:10" ht="15.75" x14ac:dyDescent="0.25">
      <c r="A34" s="2"/>
      <c r="B34" s="2"/>
      <c r="C34" s="25" t="s">
        <v>195</v>
      </c>
      <c r="D34" s="2"/>
      <c r="E34" s="2"/>
      <c r="F34" s="175">
        <f>IF(E31=C24,E24,IF(AND(E31=C25),E25,IF(AND(E31=C26),E26,IF(AND(E31=C27),E27,IF(AND(E31=C28),E28)))))</f>
        <v>9.73</v>
      </c>
      <c r="G34" s="25" t="s">
        <v>286</v>
      </c>
      <c r="H34" s="25"/>
      <c r="I34" s="2"/>
    </row>
    <row r="35" spans="1:10" ht="15.75" x14ac:dyDescent="0.25">
      <c r="A35" s="2"/>
      <c r="B35" s="2"/>
      <c r="C35" s="25" t="s">
        <v>196</v>
      </c>
      <c r="D35" s="2"/>
      <c r="E35" s="2"/>
      <c r="F35" s="175">
        <f>IF(E31=C24,F24,IF(AND(E31=C25),F25,IF(AND(E31=C26),F26,IF(AND(E31=C27),F27,IF(AND(E31=C28),F28)))))</f>
        <v>0.52</v>
      </c>
      <c r="G35" s="25" t="s">
        <v>287</v>
      </c>
      <c r="H35" s="25"/>
      <c r="I35" s="2"/>
    </row>
    <row r="36" spans="1:10" ht="15.75" x14ac:dyDescent="0.25">
      <c r="A36" s="2"/>
      <c r="B36" s="2"/>
      <c r="C36" s="25" t="s">
        <v>197</v>
      </c>
      <c r="D36" s="2"/>
      <c r="E36" s="2"/>
      <c r="F36" s="175">
        <f>IF(E31=C24,G24,IF(AND(E31=C25),G25,IF(AND(E31=C26),G26,IF(AND(E31=C27),G27,IF(AND(E31=C28),G28)))))</f>
        <v>0.53</v>
      </c>
      <c r="G36" s="25" t="s">
        <v>287</v>
      </c>
      <c r="H36" s="25"/>
      <c r="I36" s="2"/>
    </row>
    <row r="37" spans="1:10" ht="15.75" x14ac:dyDescent="0.25">
      <c r="A37" s="2"/>
      <c r="B37" s="2"/>
      <c r="C37" s="25" t="s">
        <v>198</v>
      </c>
      <c r="D37" s="2"/>
      <c r="E37" s="2"/>
      <c r="F37" s="176">
        <f>IF(E31=C24,H24,IF(AND(E31=C25),H25,IF(AND(E31=C26),H26,IF(AND(E31=C27),H27,IF(AND(E31=C28),H28)))))</f>
        <v>0.186</v>
      </c>
      <c r="G37" s="25" t="s">
        <v>287</v>
      </c>
      <c r="H37" s="25"/>
      <c r="I37" s="2"/>
    </row>
    <row r="38" spans="1:10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10" ht="15" customHeight="1" x14ac:dyDescent="0.25">
      <c r="A39" s="2"/>
      <c r="B39" s="522" t="s">
        <v>4</v>
      </c>
      <c r="C39" s="2"/>
      <c r="D39" s="2"/>
      <c r="E39" s="2"/>
      <c r="F39" s="2"/>
      <c r="G39" s="2"/>
      <c r="H39" s="2"/>
      <c r="I39" s="2"/>
    </row>
    <row r="40" spans="1:10" x14ac:dyDescent="0.25">
      <c r="A40" s="2"/>
      <c r="B40" s="522"/>
      <c r="C40" s="2" t="s">
        <v>674</v>
      </c>
      <c r="D40" s="18"/>
      <c r="E40" s="7"/>
      <c r="F40" s="20">
        <v>0.05</v>
      </c>
      <c r="G40" s="13"/>
      <c r="H40" s="2"/>
      <c r="I40" s="21"/>
      <c r="J40" s="300"/>
    </row>
    <row r="41" spans="1:10" x14ac:dyDescent="0.25">
      <c r="A41" s="2"/>
      <c r="B41" s="522"/>
      <c r="C41" s="2"/>
      <c r="D41" s="2"/>
      <c r="E41" s="2"/>
      <c r="F41" s="2"/>
      <c r="G41" s="2"/>
      <c r="H41" s="2"/>
      <c r="I41" s="2"/>
    </row>
    <row r="42" spans="1:10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10" x14ac:dyDescent="0.25">
      <c r="A43" s="2"/>
      <c r="B43" s="100" t="s">
        <v>107</v>
      </c>
      <c r="C43" s="101"/>
      <c r="D43" s="101"/>
      <c r="E43" s="2"/>
      <c r="F43" s="2"/>
      <c r="G43" s="2"/>
      <c r="H43" s="2"/>
      <c r="I43" s="2"/>
    </row>
    <row r="44" spans="1:10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10" ht="15" customHeight="1" x14ac:dyDescent="0.25">
      <c r="A45" s="2"/>
      <c r="B45" s="28" t="s">
        <v>147</v>
      </c>
      <c r="C45" s="6" t="s">
        <v>108</v>
      </c>
      <c r="D45" s="2"/>
      <c r="E45" s="102">
        <v>0.3</v>
      </c>
      <c r="F45" s="2" t="s">
        <v>109</v>
      </c>
      <c r="G45" s="674" t="s">
        <v>348</v>
      </c>
      <c r="H45" s="674"/>
      <c r="I45" s="2"/>
    </row>
    <row r="46" spans="1:10" ht="15.75" x14ac:dyDescent="0.25">
      <c r="A46" s="2"/>
      <c r="B46" s="257" t="s">
        <v>148</v>
      </c>
      <c r="C46" s="6" t="s">
        <v>111</v>
      </c>
      <c r="D46" s="2"/>
      <c r="E46" s="103">
        <v>8.0000000000000002E-3</v>
      </c>
      <c r="F46" s="2" t="s">
        <v>112</v>
      </c>
      <c r="G46" s="674"/>
      <c r="H46" s="674"/>
      <c r="I46" s="2"/>
    </row>
    <row r="47" spans="1:10" x14ac:dyDescent="0.25">
      <c r="A47" s="2"/>
      <c r="B47" s="2"/>
      <c r="C47" s="2"/>
      <c r="D47" s="2"/>
      <c r="E47" s="2"/>
      <c r="F47" s="2"/>
      <c r="G47" s="184"/>
      <c r="H47" s="184"/>
      <c r="I47" s="2"/>
    </row>
    <row r="48" spans="1:10" ht="15" customHeight="1" x14ac:dyDescent="0.25">
      <c r="A48" s="2"/>
      <c r="B48" s="2"/>
      <c r="C48" s="25" t="s">
        <v>345</v>
      </c>
      <c r="D48" s="2"/>
      <c r="E48" s="2"/>
      <c r="F48" s="2"/>
      <c r="G48" s="258" t="s">
        <v>148</v>
      </c>
      <c r="H48" s="546" t="s">
        <v>349</v>
      </c>
      <c r="I48" s="546"/>
    </row>
    <row r="49" spans="1:9" x14ac:dyDescent="0.25">
      <c r="A49" s="2"/>
      <c r="B49" s="2"/>
      <c r="C49" s="25" t="s">
        <v>346</v>
      </c>
      <c r="D49" s="2"/>
      <c r="E49" s="2"/>
      <c r="F49" s="2"/>
      <c r="G49" s="258" t="s">
        <v>148</v>
      </c>
      <c r="H49" s="546"/>
      <c r="I49" s="546"/>
    </row>
    <row r="50" spans="1:9" x14ac:dyDescent="0.25">
      <c r="A50" s="2"/>
      <c r="B50" s="2"/>
      <c r="C50" s="25"/>
      <c r="D50" s="2"/>
      <c r="E50" s="2"/>
      <c r="F50" s="2"/>
      <c r="G50" s="283"/>
      <c r="H50" s="262"/>
      <c r="I50" s="262"/>
    </row>
    <row r="51" spans="1:9" x14ac:dyDescent="0.25">
      <c r="A51" s="2"/>
      <c r="B51" s="2"/>
      <c r="C51" s="282" t="s">
        <v>395</v>
      </c>
      <c r="D51" s="2"/>
      <c r="E51" s="2"/>
      <c r="F51" s="2"/>
      <c r="G51" s="2"/>
      <c r="H51" s="2"/>
      <c r="I51" s="2"/>
    </row>
    <row r="52" spans="1:9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2"/>
      <c r="B54" s="100" t="s">
        <v>199</v>
      </c>
      <c r="C54" s="101"/>
      <c r="D54" s="101"/>
      <c r="E54" s="2"/>
      <c r="F54" s="2"/>
      <c r="G54" s="2"/>
      <c r="H54" s="2"/>
      <c r="I54" s="2"/>
    </row>
    <row r="55" spans="1:9" x14ac:dyDescent="0.25">
      <c r="A55" s="2"/>
      <c r="B55" s="2"/>
      <c r="C55" s="537" t="s">
        <v>200</v>
      </c>
      <c r="D55" s="537"/>
      <c r="E55" s="537"/>
      <c r="F55" s="537"/>
      <c r="G55" s="537"/>
      <c r="H55" s="537"/>
      <c r="I55" s="2"/>
    </row>
    <row r="56" spans="1:9" x14ac:dyDescent="0.25">
      <c r="A56" s="2"/>
      <c r="B56" s="2"/>
      <c r="C56" s="507" t="s">
        <v>201</v>
      </c>
      <c r="D56" s="504" t="s">
        <v>202</v>
      </c>
      <c r="E56" s="504"/>
      <c r="F56" s="521" t="s">
        <v>203</v>
      </c>
      <c r="G56" s="521"/>
      <c r="H56" s="521"/>
      <c r="I56" s="2"/>
    </row>
    <row r="57" spans="1:9" x14ac:dyDescent="0.25">
      <c r="A57" s="2"/>
      <c r="B57" s="2"/>
      <c r="C57" s="507"/>
      <c r="D57" s="177" t="s">
        <v>204</v>
      </c>
      <c r="E57" s="177" t="s">
        <v>205</v>
      </c>
      <c r="F57" s="26" t="s">
        <v>288</v>
      </c>
      <c r="G57" s="26" t="s">
        <v>206</v>
      </c>
      <c r="H57" s="178" t="s">
        <v>207</v>
      </c>
      <c r="I57" s="2"/>
    </row>
    <row r="58" spans="1:9" x14ac:dyDescent="0.25">
      <c r="A58" s="2"/>
      <c r="B58" s="2"/>
      <c r="C58" s="12" t="str">
        <f>+E58</f>
        <v>6 mm</v>
      </c>
      <c r="D58" s="12" t="s">
        <v>209</v>
      </c>
      <c r="E58" s="12" t="s">
        <v>404</v>
      </c>
      <c r="F58" s="12">
        <v>0.28000000000000003</v>
      </c>
      <c r="G58" s="12">
        <v>1.88</v>
      </c>
      <c r="H58" s="170">
        <v>0.22</v>
      </c>
      <c r="I58" s="2"/>
    </row>
    <row r="59" spans="1:9" x14ac:dyDescent="0.25">
      <c r="A59" s="2"/>
      <c r="B59" s="2"/>
      <c r="C59" s="12" t="str">
        <f>+E59</f>
        <v>8 mm</v>
      </c>
      <c r="D59" s="12" t="s">
        <v>209</v>
      </c>
      <c r="E59" s="12" t="s">
        <v>405</v>
      </c>
      <c r="F59" s="12">
        <v>0.5</v>
      </c>
      <c r="G59" s="12">
        <v>2.5</v>
      </c>
      <c r="H59" s="170">
        <v>0.39500000000000002</v>
      </c>
      <c r="I59" s="2"/>
    </row>
    <row r="60" spans="1:9" ht="15" customHeight="1" x14ac:dyDescent="0.25">
      <c r="A60" s="2"/>
      <c r="B60" s="7"/>
      <c r="C60" s="12" t="str">
        <f>+D60</f>
        <v>3/8"</v>
      </c>
      <c r="D60" s="12" t="s">
        <v>208</v>
      </c>
      <c r="E60" s="12" t="s">
        <v>209</v>
      </c>
      <c r="F60" s="12">
        <v>0.71</v>
      </c>
      <c r="G60" s="12">
        <v>2.99</v>
      </c>
      <c r="H60" s="170">
        <v>0.55700000000000005</v>
      </c>
      <c r="I60" s="2"/>
    </row>
    <row r="61" spans="1:9" ht="15" customHeight="1" x14ac:dyDescent="0.25">
      <c r="A61" s="2"/>
      <c r="B61" s="7"/>
      <c r="C61" s="12" t="str">
        <f>+D61</f>
        <v>1/2"</v>
      </c>
      <c r="D61" s="12" t="s">
        <v>210</v>
      </c>
      <c r="E61" s="12" t="s">
        <v>209</v>
      </c>
      <c r="F61" s="12">
        <v>1.29</v>
      </c>
      <c r="G61" s="12">
        <v>3.99</v>
      </c>
      <c r="H61" s="170">
        <v>0.99399999999999999</v>
      </c>
      <c r="I61" s="2"/>
    </row>
    <row r="62" spans="1:9" x14ac:dyDescent="0.25">
      <c r="A62" s="2"/>
      <c r="B62" s="7"/>
      <c r="C62" s="12" t="str">
        <f>+D62</f>
        <v>5/8"</v>
      </c>
      <c r="D62" s="12" t="s">
        <v>211</v>
      </c>
      <c r="E62" s="12" t="s">
        <v>209</v>
      </c>
      <c r="F62" s="12">
        <v>1.99</v>
      </c>
      <c r="G62" s="12">
        <v>4.99</v>
      </c>
      <c r="H62" s="170">
        <v>1.552</v>
      </c>
      <c r="I62" s="2"/>
    </row>
    <row r="63" spans="1:9" x14ac:dyDescent="0.25">
      <c r="A63" s="2"/>
      <c r="B63" s="7"/>
      <c r="C63" s="12" t="str">
        <f>+D63</f>
        <v>3/4"</v>
      </c>
      <c r="D63" s="12" t="s">
        <v>212</v>
      </c>
      <c r="E63" s="12" t="s">
        <v>209</v>
      </c>
      <c r="F63" s="12">
        <v>2.84</v>
      </c>
      <c r="G63" s="12">
        <v>5.98</v>
      </c>
      <c r="H63" s="170">
        <v>2.2349999999999999</v>
      </c>
      <c r="I63" s="2"/>
    </row>
    <row r="64" spans="1:9" x14ac:dyDescent="0.25">
      <c r="A64" s="2"/>
      <c r="B64" s="7"/>
      <c r="C64" s="12" t="str">
        <f>+D64</f>
        <v>1"</v>
      </c>
      <c r="D64" s="12" t="s">
        <v>406</v>
      </c>
      <c r="E64" s="12" t="s">
        <v>209</v>
      </c>
      <c r="F64" s="12">
        <v>5.0999999999999996</v>
      </c>
      <c r="G64" s="12">
        <v>7.98</v>
      </c>
      <c r="H64" s="170">
        <v>3.9729999999999999</v>
      </c>
      <c r="I64" s="2"/>
    </row>
    <row r="65" spans="1:9" ht="15" customHeight="1" x14ac:dyDescent="0.25">
      <c r="A65" s="2"/>
      <c r="B65" s="7"/>
      <c r="C65" s="179"/>
      <c r="D65" s="179"/>
      <c r="E65" s="179"/>
      <c r="F65" s="179"/>
      <c r="G65" s="179"/>
      <c r="H65" s="180"/>
      <c r="I65" s="2"/>
    </row>
    <row r="66" spans="1:9" ht="15" customHeight="1" x14ac:dyDescent="0.25">
      <c r="A66" s="2"/>
      <c r="B66" s="18"/>
      <c r="C66" s="179"/>
      <c r="D66" s="179"/>
      <c r="E66" s="179"/>
      <c r="F66" s="179"/>
      <c r="G66" s="179"/>
      <c r="H66" s="180"/>
      <c r="I66" s="2"/>
    </row>
    <row r="67" spans="1:9" ht="15" customHeight="1" x14ac:dyDescent="0.25">
      <c r="A67" s="2"/>
      <c r="B67" s="18"/>
      <c r="C67" s="179"/>
      <c r="D67" s="179"/>
      <c r="E67" s="179"/>
      <c r="F67" s="541" t="s">
        <v>213</v>
      </c>
      <c r="G67" s="542"/>
      <c r="H67" s="542"/>
      <c r="I67" s="2"/>
    </row>
    <row r="68" spans="1:9" ht="15" customHeight="1" x14ac:dyDescent="0.25">
      <c r="A68" s="2"/>
      <c r="B68" s="18"/>
      <c r="C68" s="179"/>
      <c r="D68" s="179"/>
      <c r="E68" s="179"/>
      <c r="F68" s="542"/>
      <c r="G68" s="542"/>
      <c r="H68" s="542"/>
      <c r="I68" s="2"/>
    </row>
    <row r="69" spans="1:9" ht="15" customHeight="1" x14ac:dyDescent="0.25">
      <c r="A69" s="2"/>
      <c r="B69" s="545" t="s">
        <v>675</v>
      </c>
      <c r="C69" s="6" t="s">
        <v>214</v>
      </c>
      <c r="D69" s="2"/>
      <c r="E69" s="2"/>
      <c r="F69" s="2"/>
      <c r="G69" s="2"/>
      <c r="H69" s="2"/>
      <c r="I69" s="2"/>
    </row>
    <row r="70" spans="1:9" ht="15" customHeight="1" x14ac:dyDescent="0.25">
      <c r="A70" s="2"/>
      <c r="B70" s="545"/>
      <c r="C70" s="181" t="s">
        <v>147</v>
      </c>
      <c r="D70" s="543" t="s">
        <v>289</v>
      </c>
      <c r="E70" s="544"/>
      <c r="F70" s="182" t="s">
        <v>147</v>
      </c>
      <c r="G70" s="183"/>
      <c r="H70" s="184"/>
      <c r="I70" s="2"/>
    </row>
    <row r="71" spans="1:9" x14ac:dyDescent="0.25">
      <c r="A71" s="2"/>
      <c r="B71" s="545"/>
      <c r="C71" s="181" t="s">
        <v>148</v>
      </c>
      <c r="D71" s="543" t="s">
        <v>290</v>
      </c>
      <c r="E71" s="544"/>
      <c r="F71" s="182" t="s">
        <v>147</v>
      </c>
      <c r="G71" s="183"/>
      <c r="H71" s="184"/>
      <c r="I71" s="2"/>
    </row>
    <row r="72" spans="1:9" x14ac:dyDescent="0.25">
      <c r="A72" s="2"/>
      <c r="B72" s="545"/>
      <c r="C72" s="25"/>
      <c r="D72" s="543" t="s">
        <v>291</v>
      </c>
      <c r="E72" s="544"/>
      <c r="F72" s="182" t="s">
        <v>147</v>
      </c>
      <c r="G72" s="183"/>
      <c r="H72" s="184"/>
      <c r="I72" s="2"/>
    </row>
    <row r="73" spans="1:9" x14ac:dyDescent="0.25">
      <c r="A73" s="2"/>
      <c r="B73" s="2"/>
      <c r="C73" s="2"/>
      <c r="D73" s="543" t="s">
        <v>292</v>
      </c>
      <c r="E73" s="544"/>
      <c r="F73" s="182" t="s">
        <v>148</v>
      </c>
      <c r="G73" s="183"/>
      <c r="H73" s="184"/>
      <c r="I73" s="2"/>
    </row>
    <row r="74" spans="1:9" x14ac:dyDescent="0.25">
      <c r="A74" s="2"/>
      <c r="B74" s="2"/>
      <c r="C74" s="2"/>
      <c r="D74" s="543" t="s">
        <v>407</v>
      </c>
      <c r="E74" s="544"/>
      <c r="F74" s="182" t="s">
        <v>148</v>
      </c>
      <c r="G74" s="183"/>
      <c r="H74" s="184"/>
      <c r="I74" s="2"/>
    </row>
    <row r="75" spans="1:9" x14ac:dyDescent="0.25">
      <c r="A75" s="2"/>
      <c r="B75" s="2"/>
      <c r="C75" s="2"/>
      <c r="D75" s="185"/>
      <c r="E75" s="185"/>
      <c r="F75" s="186"/>
      <c r="G75" s="187"/>
      <c r="H75" s="187"/>
      <c r="I75" s="2"/>
    </row>
    <row r="76" spans="1:9" x14ac:dyDescent="0.25">
      <c r="A76" s="2"/>
      <c r="B76" s="2"/>
      <c r="C76" s="2"/>
      <c r="D76" s="179"/>
      <c r="E76" s="6"/>
      <c r="F76" s="2"/>
      <c r="G76" s="184"/>
      <c r="H76" s="184"/>
      <c r="I76" s="2"/>
    </row>
    <row r="77" spans="1:9" x14ac:dyDescent="0.25">
      <c r="A77" s="2"/>
      <c r="B77" s="2"/>
      <c r="C77" s="2"/>
      <c r="D77" s="179"/>
      <c r="E77" s="6"/>
      <c r="F77" s="541" t="s">
        <v>408</v>
      </c>
      <c r="G77" s="542"/>
      <c r="H77" s="542"/>
      <c r="I77" s="2"/>
    </row>
    <row r="78" spans="1:9" x14ac:dyDescent="0.25">
      <c r="A78" s="2"/>
      <c r="B78" s="2"/>
      <c r="C78" s="2"/>
      <c r="D78" s="179"/>
      <c r="E78" s="6"/>
      <c r="F78" s="68"/>
      <c r="G78" s="68"/>
      <c r="H78" s="68"/>
      <c r="I78" s="2"/>
    </row>
    <row r="79" spans="1:9" x14ac:dyDescent="0.25">
      <c r="A79" s="2"/>
      <c r="B79" s="2"/>
      <c r="C79" s="6" t="s">
        <v>409</v>
      </c>
      <c r="D79" s="179"/>
      <c r="E79" s="6"/>
      <c r="F79" s="2"/>
      <c r="G79" s="184"/>
      <c r="H79" s="184"/>
      <c r="I79" s="2"/>
    </row>
    <row r="80" spans="1:9" ht="15" customHeight="1" x14ac:dyDescent="0.25">
      <c r="A80" s="2"/>
      <c r="B80" s="7"/>
      <c r="C80" s="181" t="s">
        <v>147</v>
      </c>
      <c r="D80" s="543" t="s">
        <v>410</v>
      </c>
      <c r="E80" s="544"/>
      <c r="F80" s="182" t="s">
        <v>148</v>
      </c>
      <c r="G80" s="184"/>
      <c r="H80" s="184"/>
      <c r="I80" s="2"/>
    </row>
    <row r="81" spans="1:9" x14ac:dyDescent="0.25">
      <c r="A81" s="2"/>
      <c r="B81" s="2"/>
      <c r="C81" s="181" t="s">
        <v>148</v>
      </c>
      <c r="D81" s="543" t="s">
        <v>411</v>
      </c>
      <c r="E81" s="544"/>
      <c r="F81" s="182" t="s">
        <v>147</v>
      </c>
      <c r="G81" s="184"/>
      <c r="H81" s="184"/>
      <c r="I81" s="2"/>
    </row>
    <row r="82" spans="1:9" x14ac:dyDescent="0.25">
      <c r="A82" s="2"/>
      <c r="B82" s="2"/>
      <c r="C82" s="25"/>
      <c r="D82" s="543" t="s">
        <v>412</v>
      </c>
      <c r="E82" s="544"/>
      <c r="F82" s="182" t="s">
        <v>147</v>
      </c>
      <c r="G82" s="184"/>
      <c r="H82" s="184"/>
      <c r="I82" s="2"/>
    </row>
    <row r="83" spans="1:9" x14ac:dyDescent="0.25">
      <c r="A83" s="2"/>
      <c r="B83" s="2"/>
      <c r="C83" s="2"/>
      <c r="D83" s="179"/>
      <c r="E83" s="6"/>
      <c r="F83" s="2"/>
      <c r="G83" s="184"/>
      <c r="H83" s="184"/>
      <c r="I83" s="2"/>
    </row>
    <row r="84" spans="1:9" x14ac:dyDescent="0.25">
      <c r="A84" s="2"/>
      <c r="B84" s="2"/>
      <c r="C84" s="2"/>
      <c r="D84" s="179"/>
      <c r="E84" s="6"/>
      <c r="F84" s="2"/>
      <c r="G84" s="184"/>
      <c r="H84" s="184"/>
      <c r="I84" s="2"/>
    </row>
    <row r="85" spans="1:9" ht="15.75" customHeight="1" x14ac:dyDescent="0.25">
      <c r="A85" s="2"/>
      <c r="B85" s="2"/>
      <c r="C85" s="6" t="s">
        <v>215</v>
      </c>
      <c r="D85" s="2"/>
      <c r="E85" s="2"/>
      <c r="F85" s="17">
        <v>0.05</v>
      </c>
      <c r="G85" s="2" t="s">
        <v>216</v>
      </c>
      <c r="H85" s="533" t="s">
        <v>217</v>
      </c>
      <c r="I85" s="2"/>
    </row>
    <row r="86" spans="1:9" ht="15.75" customHeight="1" x14ac:dyDescent="0.25">
      <c r="A86" s="2"/>
      <c r="B86" s="2"/>
      <c r="C86" s="6"/>
      <c r="D86" s="2"/>
      <c r="E86" s="2"/>
      <c r="F86" s="19"/>
      <c r="G86" s="2"/>
      <c r="H86" s="533"/>
      <c r="I86" s="21"/>
    </row>
    <row r="87" spans="1:9" ht="15" customHeight="1" x14ac:dyDescent="0.25">
      <c r="A87" s="2"/>
      <c r="B87" s="2"/>
      <c r="C87" s="2"/>
      <c r="D87" s="2"/>
      <c r="E87" s="2"/>
      <c r="F87" s="2"/>
      <c r="G87" s="2"/>
      <c r="H87" s="533"/>
      <c r="I87" s="21"/>
    </row>
    <row r="88" spans="1:9" ht="15" customHeight="1" x14ac:dyDescent="0.25">
      <c r="A88" s="2"/>
      <c r="B88" s="2"/>
      <c r="C88" s="2"/>
      <c r="D88" s="2"/>
      <c r="E88" s="2"/>
      <c r="F88" s="2"/>
      <c r="G88" s="2"/>
      <c r="H88" s="159"/>
      <c r="I88" s="21"/>
    </row>
    <row r="89" spans="1:9" x14ac:dyDescent="0.25">
      <c r="A89" s="2"/>
      <c r="B89" s="100" t="s">
        <v>413</v>
      </c>
      <c r="C89" s="101"/>
      <c r="D89" s="101"/>
      <c r="E89" s="2"/>
      <c r="F89" s="2"/>
      <c r="G89" s="2"/>
      <c r="H89" s="2"/>
      <c r="I89" s="2"/>
    </row>
    <row r="90" spans="1:9" ht="15" customHeight="1" x14ac:dyDescent="0.25">
      <c r="A90" s="2"/>
      <c r="B90" s="2"/>
      <c r="C90" s="2"/>
      <c r="D90" s="188"/>
      <c r="E90" s="188"/>
      <c r="F90" s="188"/>
      <c r="G90" s="2"/>
      <c r="H90" s="2"/>
      <c r="I90" s="2"/>
    </row>
    <row r="91" spans="1:9" ht="15" customHeight="1" x14ac:dyDescent="0.25">
      <c r="A91" s="2"/>
      <c r="B91" s="2"/>
      <c r="C91" s="6" t="s">
        <v>219</v>
      </c>
      <c r="D91" s="2"/>
      <c r="E91" s="102">
        <v>5.41</v>
      </c>
      <c r="F91" s="2" t="s">
        <v>293</v>
      </c>
      <c r="G91" s="2"/>
      <c r="H91" s="533" t="s">
        <v>220</v>
      </c>
      <c r="I91" s="2"/>
    </row>
    <row r="92" spans="1:9" ht="15" customHeight="1" x14ac:dyDescent="0.25">
      <c r="A92" s="2"/>
      <c r="B92" s="2"/>
      <c r="C92" s="6" t="s">
        <v>221</v>
      </c>
      <c r="D92" s="2"/>
      <c r="E92" s="102">
        <v>0.24</v>
      </c>
      <c r="F92" s="2" t="s">
        <v>294</v>
      </c>
      <c r="G92" s="2"/>
      <c r="H92" s="533"/>
      <c r="I92" s="2"/>
    </row>
    <row r="93" spans="1:9" ht="18" customHeight="1" x14ac:dyDescent="0.25">
      <c r="A93" s="2"/>
      <c r="B93" s="2"/>
      <c r="C93" s="6" t="s">
        <v>414</v>
      </c>
      <c r="D93" s="2"/>
      <c r="E93" s="102">
        <v>0.21</v>
      </c>
      <c r="F93" s="2" t="s">
        <v>294</v>
      </c>
      <c r="G93" s="2"/>
      <c r="H93" s="533"/>
      <c r="I93" s="2"/>
    </row>
    <row r="94" spans="1:9" ht="15" customHeight="1" x14ac:dyDescent="0.25">
      <c r="A94" s="2"/>
      <c r="B94" s="2"/>
      <c r="C94" s="6"/>
      <c r="D94" s="2"/>
      <c r="E94" s="189"/>
      <c r="F94" s="2"/>
      <c r="G94" s="2"/>
      <c r="H94" s="2"/>
      <c r="I94" s="2"/>
    </row>
    <row r="95" spans="1:9" ht="15" customHeight="1" x14ac:dyDescent="0.25">
      <c r="A95" s="2"/>
      <c r="B95" s="2"/>
      <c r="C95" s="6"/>
      <c r="D95" s="2"/>
      <c r="E95" s="189"/>
      <c r="F95" s="2"/>
      <c r="G95" s="2"/>
      <c r="H95" s="2"/>
      <c r="I95" s="2"/>
    </row>
    <row r="96" spans="1:9" ht="15" customHeight="1" x14ac:dyDescent="0.25">
      <c r="A96" s="393" t="s">
        <v>222</v>
      </c>
      <c r="B96" s="394"/>
      <c r="C96" s="394"/>
      <c r="D96" s="2"/>
      <c r="E96" s="32"/>
      <c r="F96" s="2"/>
      <c r="G96" s="2"/>
      <c r="H96" s="2"/>
      <c r="I96" s="2"/>
    </row>
    <row r="97" spans="1:9" x14ac:dyDescent="0.25">
      <c r="A97" s="23"/>
      <c r="B97" s="24" t="s">
        <v>6</v>
      </c>
      <c r="C97" s="161">
        <v>8</v>
      </c>
      <c r="D97" s="25" t="s">
        <v>7</v>
      </c>
      <c r="E97" s="2"/>
      <c r="F97" s="2"/>
      <c r="G97" s="2"/>
      <c r="H97" s="2"/>
      <c r="I97" s="2"/>
    </row>
    <row r="98" spans="1:9" ht="15.75" customHeight="1" x14ac:dyDescent="0.25">
      <c r="A98" s="2"/>
      <c r="B98" s="547" t="s">
        <v>8</v>
      </c>
      <c r="C98" s="547"/>
      <c r="D98" s="547"/>
      <c r="E98" s="547"/>
      <c r="F98" s="547"/>
      <c r="G98" s="547"/>
      <c r="H98" s="2"/>
      <c r="I98" s="2"/>
    </row>
    <row r="99" spans="1:9" ht="17.25" customHeight="1" x14ac:dyDescent="0.25">
      <c r="A99" s="538" t="s">
        <v>9</v>
      </c>
      <c r="B99" s="458" t="s">
        <v>223</v>
      </c>
      <c r="C99" s="459"/>
      <c r="D99" s="448" t="s">
        <v>10</v>
      </c>
      <c r="E99" s="449"/>
      <c r="F99" s="449"/>
      <c r="G99" s="449"/>
      <c r="H99" s="457"/>
      <c r="I99" s="2"/>
    </row>
    <row r="100" spans="1:9" ht="28.5" customHeight="1" x14ac:dyDescent="0.25">
      <c r="A100" s="538"/>
      <c r="B100" s="539"/>
      <c r="C100" s="540"/>
      <c r="D100" s="191" t="s">
        <v>11</v>
      </c>
      <c r="E100" s="191" t="s">
        <v>12</v>
      </c>
      <c r="F100" s="191" t="s">
        <v>13</v>
      </c>
      <c r="G100" s="191" t="s">
        <v>14</v>
      </c>
      <c r="H100" s="160" t="s">
        <v>224</v>
      </c>
      <c r="I100" s="2"/>
    </row>
    <row r="101" spans="1:9" x14ac:dyDescent="0.25">
      <c r="A101" s="549" t="s">
        <v>676</v>
      </c>
      <c r="B101" s="551">
        <v>12</v>
      </c>
      <c r="C101" s="557" t="s">
        <v>295</v>
      </c>
      <c r="D101" s="555">
        <v>0.2</v>
      </c>
      <c r="E101" s="531">
        <v>2</v>
      </c>
      <c r="F101" s="531">
        <v>2</v>
      </c>
      <c r="G101" s="531">
        <v>8</v>
      </c>
      <c r="H101" s="531">
        <v>1</v>
      </c>
      <c r="I101" s="2"/>
    </row>
    <row r="102" spans="1:9" ht="23.25" customHeight="1" x14ac:dyDescent="0.25">
      <c r="A102" s="550"/>
      <c r="B102" s="558"/>
      <c r="C102" s="559"/>
      <c r="D102" s="556"/>
      <c r="E102" s="532"/>
      <c r="F102" s="532"/>
      <c r="G102" s="532"/>
      <c r="H102" s="532"/>
      <c r="I102" s="2"/>
    </row>
    <row r="103" spans="1:9" x14ac:dyDescent="0.25">
      <c r="A103" s="549" t="s">
        <v>226</v>
      </c>
      <c r="B103" s="551">
        <v>14</v>
      </c>
      <c r="C103" s="557" t="s">
        <v>296</v>
      </c>
      <c r="D103" s="555">
        <v>0.1</v>
      </c>
      <c r="E103" s="531">
        <v>1</v>
      </c>
      <c r="F103" s="531">
        <v>1</v>
      </c>
      <c r="G103" s="531">
        <v>0.5</v>
      </c>
      <c r="H103" s="531">
        <v>0</v>
      </c>
      <c r="I103" s="2"/>
    </row>
    <row r="104" spans="1:9" ht="23.25" customHeight="1" x14ac:dyDescent="0.25">
      <c r="A104" s="550"/>
      <c r="B104" s="552"/>
      <c r="C104" s="554"/>
      <c r="D104" s="556"/>
      <c r="E104" s="532"/>
      <c r="F104" s="532"/>
      <c r="G104" s="532"/>
      <c r="H104" s="532"/>
      <c r="I104" s="2"/>
    </row>
    <row r="105" spans="1:9" x14ac:dyDescent="0.25">
      <c r="A105" s="549" t="s">
        <v>227</v>
      </c>
      <c r="B105" s="551">
        <v>250</v>
      </c>
      <c r="C105" s="553" t="s">
        <v>228</v>
      </c>
      <c r="D105" s="555">
        <v>0.1</v>
      </c>
      <c r="E105" s="531">
        <v>1</v>
      </c>
      <c r="F105" s="531">
        <v>1</v>
      </c>
      <c r="G105" s="531">
        <v>1</v>
      </c>
      <c r="H105" s="531">
        <v>0</v>
      </c>
      <c r="I105" s="2"/>
    </row>
    <row r="106" spans="1:9" ht="20.25" customHeight="1" x14ac:dyDescent="0.25">
      <c r="A106" s="550"/>
      <c r="B106" s="552"/>
      <c r="C106" s="554"/>
      <c r="D106" s="556"/>
      <c r="E106" s="532"/>
      <c r="F106" s="532"/>
      <c r="G106" s="532"/>
      <c r="H106" s="532"/>
      <c r="I106" s="2"/>
    </row>
    <row r="107" spans="1:9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5">
      <c r="A109" s="393" t="s">
        <v>229</v>
      </c>
      <c r="B109" s="394"/>
      <c r="C109" s="394"/>
      <c r="D109" s="394"/>
      <c r="E109" s="2"/>
      <c r="F109" s="2"/>
      <c r="G109" s="2"/>
      <c r="H109" s="2"/>
      <c r="I109" s="2"/>
    </row>
    <row r="110" spans="1:9" x14ac:dyDescent="0.25">
      <c r="A110" s="22"/>
      <c r="B110" s="2"/>
      <c r="C110" s="2"/>
      <c r="D110" s="2"/>
      <c r="E110" s="2"/>
      <c r="F110" s="2"/>
      <c r="G110" s="2"/>
      <c r="H110" s="2"/>
      <c r="I110" s="2"/>
    </row>
    <row r="111" spans="1:9" x14ac:dyDescent="0.25">
      <c r="A111" s="2"/>
      <c r="B111" s="100" t="s">
        <v>230</v>
      </c>
      <c r="C111" s="101"/>
      <c r="D111" s="101"/>
      <c r="E111" s="2"/>
      <c r="F111" s="2"/>
      <c r="G111" s="2"/>
      <c r="H111" s="2"/>
      <c r="I111" s="2"/>
    </row>
    <row r="112" spans="1:9" x14ac:dyDescent="0.25">
      <c r="A112" s="2"/>
      <c r="B112" s="2"/>
      <c r="C112" s="2"/>
      <c r="D112" s="2"/>
      <c r="E112" s="2"/>
      <c r="F112" s="68"/>
      <c r="G112" s="68"/>
      <c r="H112" s="533" t="s">
        <v>231</v>
      </c>
      <c r="I112" s="2"/>
    </row>
    <row r="113" spans="1:9" ht="15" customHeight="1" x14ac:dyDescent="0.25">
      <c r="A113" s="2"/>
      <c r="B113" s="181">
        <v>0</v>
      </c>
      <c r="C113" s="6" t="s">
        <v>232</v>
      </c>
      <c r="D113" s="2"/>
      <c r="E113" s="2"/>
      <c r="F113" s="17">
        <v>1</v>
      </c>
      <c r="G113" s="2" t="s">
        <v>233</v>
      </c>
      <c r="H113" s="533"/>
      <c r="I113" s="2"/>
    </row>
    <row r="114" spans="1:9" x14ac:dyDescent="0.25">
      <c r="A114" s="2"/>
      <c r="B114" s="181">
        <v>1</v>
      </c>
      <c r="C114" s="6" t="s">
        <v>297</v>
      </c>
      <c r="D114" s="2"/>
      <c r="E114" s="2"/>
      <c r="F114" s="17">
        <v>1</v>
      </c>
      <c r="G114" s="2" t="s">
        <v>18</v>
      </c>
      <c r="H114" s="533"/>
      <c r="I114" s="2"/>
    </row>
    <row r="115" spans="1:9" x14ac:dyDescent="0.25">
      <c r="A115" s="2"/>
      <c r="B115" s="181">
        <v>2</v>
      </c>
      <c r="C115" s="6"/>
      <c r="D115" s="2"/>
      <c r="E115" s="2"/>
      <c r="F115" s="68"/>
      <c r="G115" s="192"/>
      <c r="H115" s="533"/>
      <c r="I115" s="2"/>
    </row>
    <row r="116" spans="1:9" x14ac:dyDescent="0.25">
      <c r="A116" s="2"/>
      <c r="B116" s="100" t="s">
        <v>234</v>
      </c>
      <c r="C116" s="101"/>
      <c r="D116" s="101"/>
      <c r="E116" s="2"/>
      <c r="F116" s="2"/>
      <c r="G116" s="2"/>
      <c r="H116" s="2"/>
      <c r="I116" s="2"/>
    </row>
    <row r="117" spans="1:9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5">
      <c r="A118" s="2"/>
      <c r="B118" s="2"/>
      <c r="C118" s="6" t="s">
        <v>19</v>
      </c>
      <c r="D118" s="2"/>
      <c r="E118" s="20">
        <v>0.03</v>
      </c>
      <c r="F118" s="2" t="s">
        <v>20</v>
      </c>
      <c r="G118" s="529" t="s">
        <v>21</v>
      </c>
      <c r="H118" s="529"/>
      <c r="I118" s="2"/>
    </row>
    <row r="119" spans="1:9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5">
      <c r="A121" s="393" t="s">
        <v>235</v>
      </c>
      <c r="B121" s="394"/>
      <c r="C121" s="394"/>
      <c r="D121" s="566" t="s">
        <v>322</v>
      </c>
      <c r="E121" s="566"/>
      <c r="F121" s="566"/>
      <c r="G121" s="566"/>
      <c r="H121" s="2"/>
      <c r="I121" s="2"/>
    </row>
    <row r="122" spans="1:9" ht="15.75" x14ac:dyDescent="0.25">
      <c r="A122" s="5"/>
      <c r="B122" s="2"/>
      <c r="C122" s="2"/>
      <c r="D122" s="2"/>
      <c r="E122" s="108"/>
      <c r="F122" s="2"/>
      <c r="G122" s="2"/>
      <c r="H122" s="2"/>
      <c r="I122" s="2"/>
    </row>
    <row r="123" spans="1:9" ht="15.75" x14ac:dyDescent="0.25">
      <c r="A123" s="5"/>
      <c r="B123" s="100" t="s">
        <v>143</v>
      </c>
      <c r="C123" s="101"/>
      <c r="D123" s="2"/>
      <c r="E123" s="108" t="s">
        <v>118</v>
      </c>
      <c r="F123" s="2"/>
      <c r="G123" s="2"/>
      <c r="H123" s="2"/>
      <c r="I123" s="2"/>
    </row>
    <row r="124" spans="1:9" x14ac:dyDescent="0.25">
      <c r="A124" s="22"/>
      <c r="B124" s="18"/>
      <c r="C124" s="107"/>
      <c r="D124" s="107"/>
      <c r="E124" s="107"/>
      <c r="F124" s="107"/>
      <c r="G124" s="2"/>
      <c r="H124" s="2"/>
      <c r="I124" s="2"/>
    </row>
    <row r="125" spans="1:9" x14ac:dyDescent="0.25">
      <c r="A125" s="28" t="s">
        <v>119</v>
      </c>
      <c r="B125" s="573" t="s">
        <v>23</v>
      </c>
      <c r="C125" s="574"/>
      <c r="D125" s="138" t="s">
        <v>123</v>
      </c>
      <c r="E125" s="575" t="s">
        <v>116</v>
      </c>
      <c r="F125" s="576"/>
      <c r="G125" s="577" t="s">
        <v>117</v>
      </c>
      <c r="H125" s="578"/>
      <c r="I125" s="2"/>
    </row>
    <row r="126" spans="1:9" x14ac:dyDescent="0.25">
      <c r="A126" s="28" t="s">
        <v>416</v>
      </c>
      <c r="B126" s="446" t="s">
        <v>39</v>
      </c>
      <c r="C126" s="446"/>
      <c r="D126" s="302" t="s">
        <v>417</v>
      </c>
      <c r="E126" s="194" t="s">
        <v>24</v>
      </c>
      <c r="F126" s="195">
        <v>22</v>
      </c>
      <c r="G126" s="194" t="str">
        <f>E126</f>
        <v>S/.</v>
      </c>
      <c r="H126" s="330">
        <f>F126/1.18</f>
        <v>18.64406779661017</v>
      </c>
    </row>
    <row r="127" spans="1:9" ht="15.75" x14ac:dyDescent="0.25">
      <c r="A127" s="2"/>
      <c r="B127" s="446" t="s">
        <v>236</v>
      </c>
      <c r="C127" s="446"/>
      <c r="D127" s="193" t="s">
        <v>88</v>
      </c>
      <c r="E127" s="194" t="s">
        <v>24</v>
      </c>
      <c r="F127" s="195">
        <v>60</v>
      </c>
      <c r="G127" s="194" t="str">
        <f t="shared" ref="G127:G142" si="0">E127</f>
        <v>S/.</v>
      </c>
      <c r="H127" s="330">
        <f t="shared" ref="H127:H142" si="1">F127/1.18</f>
        <v>50.847457627118644</v>
      </c>
    </row>
    <row r="128" spans="1:9" ht="15.75" x14ac:dyDescent="0.25">
      <c r="A128" s="2"/>
      <c r="B128" s="446" t="s">
        <v>237</v>
      </c>
      <c r="C128" s="446"/>
      <c r="D128" s="193" t="s">
        <v>88</v>
      </c>
      <c r="E128" s="194" t="s">
        <v>24</v>
      </c>
      <c r="F128" s="195">
        <v>65</v>
      </c>
      <c r="G128" s="194" t="str">
        <f t="shared" si="0"/>
        <v>S/.</v>
      </c>
      <c r="H128" s="330">
        <f t="shared" si="1"/>
        <v>55.084745762711869</v>
      </c>
    </row>
    <row r="129" spans="1:10" ht="15.75" x14ac:dyDescent="0.25">
      <c r="A129" s="2"/>
      <c r="B129" s="446" t="s">
        <v>89</v>
      </c>
      <c r="C129" s="446"/>
      <c r="D129" s="193" t="s">
        <v>88</v>
      </c>
      <c r="E129" s="194" t="s">
        <v>24</v>
      </c>
      <c r="F129" s="195">
        <v>5</v>
      </c>
      <c r="G129" s="194" t="str">
        <f t="shared" si="0"/>
        <v>S/.</v>
      </c>
      <c r="H129" s="330">
        <f t="shared" si="1"/>
        <v>4.2372881355932206</v>
      </c>
    </row>
    <row r="130" spans="1:10" x14ac:dyDescent="0.25">
      <c r="A130" s="2"/>
      <c r="B130" s="446" t="str">
        <f>IF(G48="NO","Gasolina de 84 octanos",IF(AND(G48="SI"),"-"))</f>
        <v>Gasolina de 84 octanos</v>
      </c>
      <c r="C130" s="446"/>
      <c r="D130" s="193" t="str">
        <f>IF(G48="NO","galón",IF(AND(G48="SI"),"-"))</f>
        <v>galón</v>
      </c>
      <c r="E130" s="194" t="str">
        <f>IF(G48="NO","S/.",IF(AND(G48="SI"),"No considerar"))</f>
        <v>S/.</v>
      </c>
      <c r="F130" s="195">
        <v>9.59</v>
      </c>
      <c r="G130" s="194" t="str">
        <f>E130</f>
        <v>S/.</v>
      </c>
      <c r="H130" s="106">
        <f t="shared" si="1"/>
        <v>8.1271186440677976</v>
      </c>
      <c r="I130" s="2"/>
    </row>
    <row r="131" spans="1:10" x14ac:dyDescent="0.25">
      <c r="A131" s="2"/>
      <c r="B131" s="453" t="str">
        <f>IF(G49="NO","Grasa multipropósitos",IF(AND(G49="SI"),"-"))</f>
        <v>Grasa multipropósitos</v>
      </c>
      <c r="C131" s="453"/>
      <c r="D131" s="193" t="str">
        <f>IF(G49="NO","kg",IF(AND(G49="SI"),"-"))</f>
        <v>kg</v>
      </c>
      <c r="E131" s="194" t="str">
        <f>IF(G49="NO","S/.",IF(AND(G49="SI"),"No considerar"))</f>
        <v>S/.</v>
      </c>
      <c r="F131" s="195">
        <v>20</v>
      </c>
      <c r="G131" s="194" t="str">
        <f>E131</f>
        <v>S/.</v>
      </c>
      <c r="H131" s="106">
        <f t="shared" si="1"/>
        <v>16.949152542372882</v>
      </c>
      <c r="I131" s="2"/>
    </row>
    <row r="132" spans="1:10" x14ac:dyDescent="0.25">
      <c r="A132" s="2"/>
      <c r="B132" s="196" t="str">
        <f>IF(F80="si","Acero de",IF(AND(F80="no"),"-"))</f>
        <v>-</v>
      </c>
      <c r="C132" s="197" t="str">
        <f>IF(F80="si","6 mm",IF(AND(F80="no"),"-"))</f>
        <v>-</v>
      </c>
      <c r="D132" s="198" t="str">
        <f>IF(F80="si","varilla",IF(AND(F80="no"),"-"))</f>
        <v>-</v>
      </c>
      <c r="E132" s="199" t="str">
        <f>IF(F80="si","S/.",IF(AND(F80="no"),"No considerar"))</f>
        <v>No considerar</v>
      </c>
      <c r="F132" s="195">
        <v>10.29</v>
      </c>
      <c r="G132" s="194" t="str">
        <f t="shared" si="0"/>
        <v>No considerar</v>
      </c>
      <c r="H132" s="330">
        <f t="shared" si="1"/>
        <v>8.7203389830508478</v>
      </c>
    </row>
    <row r="133" spans="1:10" x14ac:dyDescent="0.25">
      <c r="A133" s="2"/>
      <c r="B133" s="196" t="str">
        <f>IF(F81="si","Acero de",IF(AND(F81="no"),"-"))</f>
        <v>Acero de</v>
      </c>
      <c r="C133" s="197" t="str">
        <f>IF(F81="si","8 mm",IF(AND(F81="no"),"-"))</f>
        <v>8 mm</v>
      </c>
      <c r="D133" s="198" t="str">
        <f>IF(F81="si","varilla",IF(AND(F81="no"),"-"))</f>
        <v>varilla</v>
      </c>
      <c r="E133" s="199" t="str">
        <f>IF(F81="si","S/.",IF(AND(F81="no"),"No considerar"))</f>
        <v>S/.</v>
      </c>
      <c r="F133" s="195">
        <v>18.170000000000002</v>
      </c>
      <c r="G133" s="194" t="str">
        <f t="shared" si="0"/>
        <v>S/.</v>
      </c>
      <c r="H133" s="330">
        <f t="shared" si="1"/>
        <v>15.398305084745765</v>
      </c>
    </row>
    <row r="134" spans="1:10" x14ac:dyDescent="0.25">
      <c r="A134" s="2"/>
      <c r="B134" s="196" t="str">
        <f>IF(F70="si","Acero de",IF(AND(F82="si"),"Acero de",IF(AND(F70="no"),"-",IF(AND(F82="no"),"-"))))</f>
        <v>Acero de</v>
      </c>
      <c r="C134" s="197" t="str">
        <f>IF(F70="si","3/8""",IF(AND(F82="si"),"3/8""",IF(AND(F70="no"),"-",IF(AND(F82="no"),"-"))))</f>
        <v>3/8"</v>
      </c>
      <c r="D134" s="198" t="str">
        <f>IF(F70="si","varilla",IF(AND(F82="si"),"varilla",IF(AND(F70="no"),"-",IF(AND(F82="no"),"-"))))</f>
        <v>varilla</v>
      </c>
      <c r="E134" s="199" t="str">
        <f>IF(F70="si","S/.",IF(AND(F82="si"),"S/.",IF(AND(F70="no"),"No considerar",IF(AND(F82="no"),"No considerar"))))</f>
        <v>S/.</v>
      </c>
      <c r="F134" s="195">
        <v>25.23</v>
      </c>
      <c r="G134" s="194" t="str">
        <f t="shared" si="0"/>
        <v>S/.</v>
      </c>
      <c r="H134" s="330">
        <f t="shared" si="1"/>
        <v>21.381355932203391</v>
      </c>
    </row>
    <row r="135" spans="1:10" x14ac:dyDescent="0.25">
      <c r="A135" s="2"/>
      <c r="B135" s="196" t="str">
        <f>IF(F71="si","Acero de",IF(AND(F71="no"),"-"))</f>
        <v>Acero de</v>
      </c>
      <c r="C135" s="197" t="str">
        <f>IF(F71="si","1/2""",IF(AND(F71="no"),"-"))</f>
        <v>1/2"</v>
      </c>
      <c r="D135" s="198" t="str">
        <f>IF(F71="si","varilla",IF(AND(F71="no"),"-"))</f>
        <v>varilla</v>
      </c>
      <c r="E135" s="199" t="str">
        <f>IF(F71="si","S/.",IF(AND(F71="no"),"No considerar"))</f>
        <v>S/.</v>
      </c>
      <c r="F135" s="195">
        <v>45.2</v>
      </c>
      <c r="G135" s="194" t="str">
        <f t="shared" si="0"/>
        <v>S/.</v>
      </c>
      <c r="H135" s="330">
        <f t="shared" si="1"/>
        <v>38.305084745762713</v>
      </c>
    </row>
    <row r="136" spans="1:10" x14ac:dyDescent="0.25">
      <c r="A136" s="2"/>
      <c r="B136" s="196" t="str">
        <f>IF(F72="si","Acero de",IF(AND(F72="no"),"-"))</f>
        <v>Acero de</v>
      </c>
      <c r="C136" s="197" t="str">
        <f>IF(F72="si","5/8""",IF(AND(F72="no"),"-"))</f>
        <v>5/8"</v>
      </c>
      <c r="D136" s="198" t="str">
        <f>IF(F72="si","varilla",IF(AND(F72="no"),"-"))</f>
        <v>varilla</v>
      </c>
      <c r="E136" s="199" t="str">
        <f>IF(F72="si","S/.",IF(AND(F72="no"),"No considerar"))</f>
        <v>S/.</v>
      </c>
      <c r="F136" s="195">
        <v>69.900000000000006</v>
      </c>
      <c r="G136" s="194" t="str">
        <f t="shared" si="0"/>
        <v>S/.</v>
      </c>
      <c r="H136" s="330">
        <f t="shared" si="1"/>
        <v>59.237288135593225</v>
      </c>
    </row>
    <row r="137" spans="1:10" x14ac:dyDescent="0.25">
      <c r="A137" s="2"/>
      <c r="B137" s="196" t="str">
        <f>IF(F73="si","Acero de",IF(AND(F73="no"),"-"))</f>
        <v>-</v>
      </c>
      <c r="C137" s="197" t="str">
        <f>IF(F73="si","3/4""",IF(AND(F73="no"),"-"))</f>
        <v>-</v>
      </c>
      <c r="D137" s="198" t="str">
        <f>IF(F73="si","varilla",IF(AND(F73="no"),"-"))</f>
        <v>-</v>
      </c>
      <c r="E137" s="199" t="str">
        <f>IF(F73="si","S/.",IF(AND(F73="no"),"No considerar"))</f>
        <v>No considerar</v>
      </c>
      <c r="F137" s="195">
        <v>102.82</v>
      </c>
      <c r="G137" s="194" t="str">
        <f t="shared" si="0"/>
        <v>No considerar</v>
      </c>
      <c r="H137" s="330">
        <f t="shared" si="1"/>
        <v>87.135593220338976</v>
      </c>
    </row>
    <row r="138" spans="1:10" x14ac:dyDescent="0.25">
      <c r="A138" s="2"/>
      <c r="B138" s="196" t="str">
        <f>IF(F74="si","Acero de",IF(AND(F74="no"),"-"))</f>
        <v>-</v>
      </c>
      <c r="C138" s="197" t="str">
        <f>IF(F74="si","1""",IF(AND(F74="no"),"-"))</f>
        <v>-</v>
      </c>
      <c r="D138" s="198" t="str">
        <f>IF(F74="si","varilla",IF(AND(F74="no"),"-"))</f>
        <v>-</v>
      </c>
      <c r="E138" s="199" t="str">
        <f>IF(F74="si","S/.",IF(AND(F74="no"),"No considerar"))</f>
        <v>No considerar</v>
      </c>
      <c r="F138" s="195">
        <v>120</v>
      </c>
      <c r="G138" s="194" t="str">
        <f t="shared" si="0"/>
        <v>No considerar</v>
      </c>
      <c r="H138" s="330">
        <f t="shared" si="1"/>
        <v>101.69491525423729</v>
      </c>
    </row>
    <row r="139" spans="1:10" ht="15" customHeight="1" x14ac:dyDescent="0.25">
      <c r="A139" s="2"/>
      <c r="B139" s="446" t="s">
        <v>238</v>
      </c>
      <c r="C139" s="446"/>
      <c r="D139" s="198" t="s">
        <v>169</v>
      </c>
      <c r="E139" s="199" t="s">
        <v>24</v>
      </c>
      <c r="F139" s="195">
        <v>7.54</v>
      </c>
      <c r="G139" s="194" t="str">
        <f t="shared" si="0"/>
        <v>S/.</v>
      </c>
      <c r="H139" s="330">
        <f t="shared" si="1"/>
        <v>6.389830508474577</v>
      </c>
    </row>
    <row r="140" spans="1:10" ht="15" customHeight="1" x14ac:dyDescent="0.25">
      <c r="A140" s="2"/>
      <c r="B140" s="446" t="s">
        <v>418</v>
      </c>
      <c r="C140" s="446"/>
      <c r="D140" s="198" t="s">
        <v>169</v>
      </c>
      <c r="E140" s="199" t="s">
        <v>24</v>
      </c>
      <c r="F140" s="195">
        <v>7.57</v>
      </c>
      <c r="G140" s="194" t="str">
        <f t="shared" si="0"/>
        <v>S/.</v>
      </c>
      <c r="H140" s="330">
        <f t="shared" si="1"/>
        <v>6.4152542372881358</v>
      </c>
    </row>
    <row r="141" spans="1:10" ht="15.75" x14ac:dyDescent="0.25">
      <c r="A141" s="2"/>
      <c r="B141" s="579" t="s">
        <v>239</v>
      </c>
      <c r="C141" s="579"/>
      <c r="D141" s="193" t="s">
        <v>298</v>
      </c>
      <c r="E141" s="199" t="s">
        <v>24</v>
      </c>
      <c r="F141" s="195">
        <v>4.5</v>
      </c>
      <c r="G141" s="194" t="str">
        <f t="shared" si="0"/>
        <v>S/.</v>
      </c>
      <c r="H141" s="330">
        <f t="shared" si="1"/>
        <v>3.8135593220338984</v>
      </c>
    </row>
    <row r="142" spans="1:10" x14ac:dyDescent="0.25">
      <c r="A142" s="2"/>
      <c r="B142" s="446" t="s">
        <v>240</v>
      </c>
      <c r="C142" s="446"/>
      <c r="D142" s="193" t="s">
        <v>169</v>
      </c>
      <c r="E142" s="199" t="s">
        <v>24</v>
      </c>
      <c r="F142" s="195">
        <v>8.1</v>
      </c>
      <c r="G142" s="194" t="str">
        <f t="shared" si="0"/>
        <v>S/.</v>
      </c>
      <c r="H142" s="330">
        <f t="shared" si="1"/>
        <v>6.8644067796610173</v>
      </c>
      <c r="J142" s="54"/>
    </row>
    <row r="143" spans="1:10" x14ac:dyDescent="0.25">
      <c r="A143" s="2"/>
      <c r="B143" s="185"/>
      <c r="C143" s="185"/>
      <c r="D143" s="161"/>
      <c r="E143" s="200"/>
      <c r="F143" s="301"/>
      <c r="G143" s="2"/>
      <c r="H143" s="2"/>
    </row>
    <row r="144" spans="1:10" x14ac:dyDescent="0.25">
      <c r="A144" s="2"/>
      <c r="B144" s="100" t="s">
        <v>152</v>
      </c>
      <c r="C144" s="120"/>
      <c r="D144" s="31"/>
      <c r="E144" s="32"/>
      <c r="F144" s="33"/>
      <c r="G144" s="2"/>
      <c r="H144" s="2"/>
      <c r="I144" s="2"/>
    </row>
    <row r="145" spans="1:9" x14ac:dyDescent="0.25">
      <c r="A145" s="28"/>
      <c r="B145" s="185"/>
      <c r="C145" s="185"/>
      <c r="D145" s="68"/>
      <c r="E145" s="259"/>
      <c r="F145" s="33"/>
      <c r="G145" s="32"/>
      <c r="H145" s="260"/>
      <c r="I145" s="2"/>
    </row>
    <row r="146" spans="1:9" x14ac:dyDescent="0.25">
      <c r="A146" s="28" t="s">
        <v>119</v>
      </c>
      <c r="B146" s="573" t="s">
        <v>26</v>
      </c>
      <c r="C146" s="574"/>
      <c r="D146" s="138" t="s">
        <v>123</v>
      </c>
      <c r="E146" s="584" t="s">
        <v>116</v>
      </c>
      <c r="F146" s="584"/>
      <c r="G146" s="577" t="s">
        <v>117</v>
      </c>
      <c r="H146" s="578"/>
      <c r="I146" s="2"/>
    </row>
    <row r="147" spans="1:9" x14ac:dyDescent="0.25">
      <c r="A147" s="28" t="s">
        <v>120</v>
      </c>
      <c r="B147" s="534" t="s">
        <v>264</v>
      </c>
      <c r="C147" s="535"/>
      <c r="D147" s="284" t="s">
        <v>396</v>
      </c>
      <c r="E147" s="115" t="s">
        <v>24</v>
      </c>
      <c r="F147" s="30">
        <v>10</v>
      </c>
      <c r="G147" s="29" t="s">
        <v>24</v>
      </c>
      <c r="H147" s="106">
        <f>F147/1.18</f>
        <v>8.4745762711864412</v>
      </c>
      <c r="I147" s="2"/>
    </row>
    <row r="148" spans="1:9" x14ac:dyDescent="0.25">
      <c r="A148" s="28"/>
      <c r="B148" s="534" t="s">
        <v>54</v>
      </c>
      <c r="C148" s="535"/>
      <c r="D148" s="284" t="s">
        <v>396</v>
      </c>
      <c r="E148" s="115" t="s">
        <v>24</v>
      </c>
      <c r="F148" s="30">
        <v>12</v>
      </c>
      <c r="G148" s="29" t="s">
        <v>24</v>
      </c>
      <c r="H148" s="106">
        <f t="shared" ref="H148" si="2">F148/1.18</f>
        <v>10.16949152542373</v>
      </c>
      <c r="I148" s="2"/>
    </row>
    <row r="149" spans="1:9" x14ac:dyDescent="0.25">
      <c r="A149" s="28"/>
      <c r="B149" s="286" t="s">
        <v>119</v>
      </c>
      <c r="C149" s="185"/>
      <c r="D149" s="68"/>
      <c r="E149" s="259"/>
      <c r="F149" s="33"/>
      <c r="G149" s="32"/>
      <c r="H149" s="260"/>
      <c r="I149" s="2"/>
    </row>
    <row r="150" spans="1:9" x14ac:dyDescent="0.25">
      <c r="A150" s="28" t="s">
        <v>120</v>
      </c>
      <c r="B150" s="287" t="s">
        <v>120</v>
      </c>
      <c r="C150" s="31"/>
      <c r="D150" s="31"/>
      <c r="E150" s="32"/>
      <c r="F150" s="33"/>
      <c r="G150" s="2"/>
      <c r="H150" s="2"/>
      <c r="I150" s="2"/>
    </row>
    <row r="151" spans="1:9" x14ac:dyDescent="0.25">
      <c r="A151" s="164"/>
      <c r="B151" s="455" t="s">
        <v>179</v>
      </c>
      <c r="C151" s="455"/>
      <c r="D151" s="564"/>
      <c r="E151" s="17" t="s">
        <v>120</v>
      </c>
      <c r="F151" s="565" t="s">
        <v>149</v>
      </c>
      <c r="G151" s="565"/>
      <c r="H151" s="2"/>
    </row>
    <row r="152" spans="1:9" x14ac:dyDescent="0.25">
      <c r="A152" s="2"/>
      <c r="B152" s="18"/>
      <c r="C152" s="31"/>
      <c r="D152" s="31"/>
      <c r="E152" s="32"/>
      <c r="F152" s="565"/>
      <c r="G152" s="565"/>
      <c r="H152" s="2"/>
      <c r="I152" s="2"/>
    </row>
    <row r="153" spans="1:9" x14ac:dyDescent="0.25">
      <c r="A153" s="2"/>
      <c r="B153" s="18"/>
      <c r="C153" s="31"/>
      <c r="D153" s="31"/>
      <c r="E153" s="32"/>
      <c r="F153" s="33"/>
      <c r="G153" s="2"/>
      <c r="H153" s="2"/>
      <c r="I153" s="2"/>
    </row>
    <row r="154" spans="1:9" x14ac:dyDescent="0.25">
      <c r="A154" s="2"/>
      <c r="B154" s="18"/>
      <c r="C154" s="31"/>
      <c r="D154" s="31"/>
      <c r="E154" s="32"/>
      <c r="F154" s="33"/>
      <c r="G154" s="2"/>
      <c r="H154" s="2"/>
      <c r="I154" s="2"/>
    </row>
    <row r="155" spans="1:9" x14ac:dyDescent="0.25">
      <c r="A155" s="2"/>
      <c r="B155" s="100" t="s">
        <v>144</v>
      </c>
      <c r="C155" s="120"/>
      <c r="D155" s="31"/>
      <c r="E155" s="32"/>
      <c r="F155" s="33"/>
      <c r="G155" s="2"/>
      <c r="H155" s="2"/>
      <c r="I155" s="2"/>
    </row>
    <row r="156" spans="1:9" x14ac:dyDescent="0.25">
      <c r="A156" s="2"/>
      <c r="B156" s="18"/>
      <c r="C156" s="31"/>
      <c r="D156" s="31"/>
      <c r="E156" s="32"/>
      <c r="F156" s="33"/>
      <c r="G156" s="2"/>
      <c r="H156" s="2"/>
      <c r="I156" s="2"/>
    </row>
    <row r="157" spans="1:9" x14ac:dyDescent="0.25">
      <c r="A157" s="2"/>
      <c r="B157" s="567" t="s">
        <v>124</v>
      </c>
      <c r="C157" s="568"/>
      <c r="D157" s="568"/>
      <c r="E157" s="568"/>
      <c r="F157" s="568"/>
      <c r="G157" s="569"/>
      <c r="H157" s="2"/>
      <c r="I157" s="2"/>
    </row>
    <row r="158" spans="1:9" x14ac:dyDescent="0.25">
      <c r="A158" s="2"/>
      <c r="B158" s="570" t="s">
        <v>125</v>
      </c>
      <c r="C158" s="571"/>
      <c r="D158" s="571"/>
      <c r="E158" s="571"/>
      <c r="F158" s="571"/>
      <c r="G158" s="572"/>
      <c r="H158" s="2"/>
      <c r="I158" s="2"/>
    </row>
    <row r="159" spans="1:9" x14ac:dyDescent="0.25">
      <c r="A159" s="2"/>
      <c r="B159" s="524" t="s">
        <v>126</v>
      </c>
      <c r="C159" s="524"/>
      <c r="D159" s="524"/>
      <c r="E159" s="117" t="s">
        <v>12</v>
      </c>
      <c r="F159" s="118" t="s">
        <v>13</v>
      </c>
      <c r="G159" s="117" t="s">
        <v>14</v>
      </c>
      <c r="H159" s="2"/>
      <c r="I159" s="2"/>
    </row>
    <row r="160" spans="1:9" x14ac:dyDescent="0.25">
      <c r="A160" s="2"/>
      <c r="B160" s="525" t="s">
        <v>127</v>
      </c>
      <c r="C160" s="525"/>
      <c r="D160" s="525"/>
      <c r="E160" s="112">
        <v>74.3</v>
      </c>
      <c r="F160" s="112">
        <v>58.45</v>
      </c>
      <c r="G160" s="112">
        <v>52.5</v>
      </c>
      <c r="H160" s="2"/>
      <c r="I160" s="2"/>
    </row>
    <row r="161" spans="1:9" x14ac:dyDescent="0.25">
      <c r="A161" s="2"/>
      <c r="B161" s="526" t="s">
        <v>128</v>
      </c>
      <c r="C161" s="526"/>
      <c r="D161" s="526"/>
      <c r="E161" s="84"/>
      <c r="F161" s="112"/>
      <c r="G161" s="112"/>
      <c r="H161" s="2"/>
      <c r="I161" s="2"/>
    </row>
    <row r="162" spans="1:9" x14ac:dyDescent="0.25">
      <c r="A162" s="2"/>
      <c r="B162" s="121"/>
      <c r="C162" s="122" t="s">
        <v>12</v>
      </c>
      <c r="D162" s="123">
        <v>0.32</v>
      </c>
      <c r="E162" s="84">
        <f>D162*E160</f>
        <v>23.776</v>
      </c>
      <c r="F162" s="112"/>
      <c r="G162" s="112"/>
      <c r="H162" s="2"/>
      <c r="I162" s="2"/>
    </row>
    <row r="163" spans="1:9" x14ac:dyDescent="0.25">
      <c r="A163" s="2"/>
      <c r="B163" s="124"/>
      <c r="C163" s="125" t="s">
        <v>13</v>
      </c>
      <c r="D163" s="126">
        <v>0.3</v>
      </c>
      <c r="E163" s="84"/>
      <c r="F163" s="112">
        <f>D163*F160</f>
        <v>17.535</v>
      </c>
      <c r="G163" s="112"/>
      <c r="H163" s="2"/>
      <c r="I163" s="2"/>
    </row>
    <row r="164" spans="1:9" x14ac:dyDescent="0.25">
      <c r="A164" s="2"/>
      <c r="B164" s="124"/>
      <c r="C164" s="125" t="s">
        <v>14</v>
      </c>
      <c r="D164" s="126">
        <v>0.3</v>
      </c>
      <c r="E164" s="84"/>
      <c r="F164" s="112"/>
      <c r="G164" s="112">
        <f>D164*G160</f>
        <v>15.75</v>
      </c>
      <c r="H164" s="2"/>
      <c r="I164" s="2"/>
    </row>
    <row r="165" spans="1:9" ht="15" customHeight="1" x14ac:dyDescent="0.25">
      <c r="A165" s="2"/>
      <c r="B165" s="527" t="s">
        <v>129</v>
      </c>
      <c r="C165" s="528"/>
      <c r="D165" s="127">
        <v>1.1345000000000001</v>
      </c>
      <c r="E165" s="84">
        <f>D165*E160</f>
        <v>84.293350000000004</v>
      </c>
      <c r="F165" s="112">
        <f>D165*F160</f>
        <v>66.311525000000003</v>
      </c>
      <c r="G165" s="112">
        <f>D165*G160</f>
        <v>59.561250000000001</v>
      </c>
      <c r="H165" s="2"/>
      <c r="I165" s="2"/>
    </row>
    <row r="166" spans="1:9" ht="15" customHeight="1" x14ac:dyDescent="0.25">
      <c r="A166" s="2"/>
      <c r="B166" s="527" t="s">
        <v>130</v>
      </c>
      <c r="C166" s="528"/>
      <c r="D166" s="128">
        <v>0.12</v>
      </c>
      <c r="E166" s="84">
        <f>D166*E162</f>
        <v>2.8531199999999997</v>
      </c>
      <c r="F166" s="112">
        <f>D166*F163</f>
        <v>2.1042000000000001</v>
      </c>
      <c r="G166" s="112">
        <f>D166*G164</f>
        <v>1.89</v>
      </c>
      <c r="H166" s="2"/>
      <c r="I166" s="2"/>
    </row>
    <row r="167" spans="1:9" x14ac:dyDescent="0.25">
      <c r="A167" s="2"/>
      <c r="B167" s="526" t="s">
        <v>131</v>
      </c>
      <c r="C167" s="526"/>
      <c r="D167" s="526"/>
      <c r="E167" s="84">
        <v>8</v>
      </c>
      <c r="F167" s="112">
        <v>8</v>
      </c>
      <c r="G167" s="112">
        <v>8</v>
      </c>
      <c r="H167" s="2"/>
      <c r="I167" s="2"/>
    </row>
    <row r="168" spans="1:9" x14ac:dyDescent="0.25">
      <c r="A168" s="2"/>
      <c r="B168" s="526" t="s">
        <v>132</v>
      </c>
      <c r="C168" s="526"/>
      <c r="D168" s="526"/>
      <c r="E168" s="84">
        <v>0.4</v>
      </c>
      <c r="F168" s="112">
        <v>0.4</v>
      </c>
      <c r="G168" s="112">
        <v>0.4</v>
      </c>
      <c r="H168" s="2"/>
      <c r="I168" s="2"/>
    </row>
    <row r="169" spans="1:9" x14ac:dyDescent="0.25">
      <c r="A169" s="2"/>
      <c r="B169" s="526" t="s">
        <v>133</v>
      </c>
      <c r="C169" s="526"/>
      <c r="D169" s="526"/>
      <c r="E169" s="84">
        <v>0.17</v>
      </c>
      <c r="F169" s="112">
        <v>0.17</v>
      </c>
      <c r="G169" s="112">
        <v>0.17</v>
      </c>
      <c r="H169" s="2"/>
      <c r="I169" s="2"/>
    </row>
    <row r="170" spans="1:9" x14ac:dyDescent="0.25">
      <c r="A170" s="2"/>
      <c r="B170" s="636" t="s">
        <v>134</v>
      </c>
      <c r="C170" s="636"/>
      <c r="D170" s="636"/>
      <c r="E170" s="119">
        <f>E160+E162+E165+E166+E167+E168+E169</f>
        <v>193.79246999999998</v>
      </c>
      <c r="F170" s="118">
        <f>F160+F163+F165+F166+F167+F168+F169</f>
        <v>152.97072499999999</v>
      </c>
      <c r="G170" s="118">
        <f>G160+G164+G165+G166+G167+G168+G169</f>
        <v>138.27124999999998</v>
      </c>
      <c r="H170" s="2"/>
      <c r="I170" s="2"/>
    </row>
    <row r="171" spans="1:9" x14ac:dyDescent="0.25">
      <c r="A171" s="2"/>
      <c r="B171" s="636" t="s">
        <v>135</v>
      </c>
      <c r="C171" s="636"/>
      <c r="D171" s="636"/>
      <c r="E171" s="119">
        <f>E170/8</f>
        <v>24.224058749999998</v>
      </c>
      <c r="F171" s="118">
        <f>F170/8</f>
        <v>19.121340624999998</v>
      </c>
      <c r="G171" s="118">
        <f>G170/8</f>
        <v>17.283906249999998</v>
      </c>
      <c r="H171" s="2"/>
      <c r="I171" s="2"/>
    </row>
    <row r="172" spans="1:9" x14ac:dyDescent="0.25">
      <c r="A172" s="2"/>
      <c r="B172" s="18"/>
      <c r="C172" s="31"/>
      <c r="D172" s="31"/>
      <c r="E172" s="32"/>
      <c r="F172" s="33"/>
      <c r="G172" s="2"/>
      <c r="H172" s="2"/>
      <c r="I172" s="2"/>
    </row>
    <row r="173" spans="1:9" x14ac:dyDescent="0.25">
      <c r="A173" s="2"/>
      <c r="B173" s="580" t="s">
        <v>136</v>
      </c>
      <c r="C173" s="581"/>
      <c r="D173" s="581"/>
      <c r="E173" s="581"/>
      <c r="F173" s="581"/>
      <c r="G173" s="582"/>
      <c r="H173" s="2"/>
      <c r="I173" s="2"/>
    </row>
    <row r="174" spans="1:9" x14ac:dyDescent="0.25">
      <c r="A174" s="2"/>
      <c r="B174" s="129" t="s">
        <v>137</v>
      </c>
      <c r="C174" s="130"/>
      <c r="D174" s="131"/>
      <c r="E174" s="113">
        <v>1.1000000000000001</v>
      </c>
      <c r="F174" s="114" t="s">
        <v>140</v>
      </c>
      <c r="G174" s="111">
        <f>E174*E171</f>
        <v>26.646464625</v>
      </c>
      <c r="H174" s="2"/>
      <c r="I174" s="2"/>
    </row>
    <row r="175" spans="1:9" x14ac:dyDescent="0.25">
      <c r="A175" s="2"/>
      <c r="B175" s="129" t="s">
        <v>12</v>
      </c>
      <c r="C175" s="130"/>
      <c r="D175" s="131"/>
      <c r="E175" s="113"/>
      <c r="F175" s="114"/>
      <c r="G175" s="111">
        <f>E171</f>
        <v>24.224058749999998</v>
      </c>
      <c r="H175" s="2"/>
      <c r="I175" s="2"/>
    </row>
    <row r="176" spans="1:9" x14ac:dyDescent="0.25">
      <c r="A176" s="2"/>
      <c r="B176" s="129" t="s">
        <v>13</v>
      </c>
      <c r="C176" s="130"/>
      <c r="D176" s="131"/>
      <c r="E176" s="115"/>
      <c r="F176" s="116"/>
      <c r="G176" s="111">
        <f>F171</f>
        <v>19.121340624999998</v>
      </c>
      <c r="H176" s="2"/>
      <c r="I176" s="2"/>
    </row>
    <row r="177" spans="1:9" x14ac:dyDescent="0.25">
      <c r="A177" s="2"/>
      <c r="B177" s="129" t="s">
        <v>14</v>
      </c>
      <c r="C177" s="130"/>
      <c r="D177" s="131"/>
      <c r="E177" s="115"/>
      <c r="F177" s="116"/>
      <c r="G177" s="111">
        <f>G171</f>
        <v>17.283906249999998</v>
      </c>
      <c r="H177" s="2"/>
      <c r="I177" s="2"/>
    </row>
    <row r="178" spans="1:9" ht="15" customHeight="1" x14ac:dyDescent="0.25">
      <c r="A178" s="2"/>
      <c r="B178" s="129" t="s">
        <v>138</v>
      </c>
      <c r="C178" s="130"/>
      <c r="D178" s="131"/>
      <c r="E178" s="113">
        <v>1</v>
      </c>
      <c r="F178" s="114" t="s">
        <v>141</v>
      </c>
      <c r="G178" s="111">
        <f>E178*F171</f>
        <v>19.121340624999998</v>
      </c>
      <c r="H178" s="2"/>
      <c r="I178" s="2"/>
    </row>
    <row r="179" spans="1:9" x14ac:dyDescent="0.25">
      <c r="A179" s="2"/>
      <c r="B179" s="630" t="s">
        <v>25</v>
      </c>
      <c r="C179" s="631"/>
      <c r="D179" s="632"/>
      <c r="E179" s="113">
        <v>1.08</v>
      </c>
      <c r="F179" s="114" t="s">
        <v>140</v>
      </c>
      <c r="G179" s="111">
        <f>E179*E171</f>
        <v>26.161983449999997</v>
      </c>
      <c r="H179" s="2"/>
      <c r="I179" s="2"/>
    </row>
    <row r="180" spans="1:9" x14ac:dyDescent="0.25">
      <c r="A180" s="2"/>
      <c r="B180" s="630" t="s">
        <v>139</v>
      </c>
      <c r="C180" s="631"/>
      <c r="D180" s="632"/>
      <c r="E180" s="113">
        <v>1.1000000000000001</v>
      </c>
      <c r="F180" s="114" t="s">
        <v>140</v>
      </c>
      <c r="G180" s="111">
        <f>E180*E171</f>
        <v>26.646464625</v>
      </c>
      <c r="H180" s="2"/>
      <c r="I180" s="2"/>
    </row>
    <row r="181" spans="1:9" x14ac:dyDescent="0.25">
      <c r="A181" s="2"/>
      <c r="B181" s="633" t="s">
        <v>142</v>
      </c>
      <c r="C181" s="633"/>
      <c r="D181" s="633"/>
      <c r="E181" s="633"/>
      <c r="F181" s="633"/>
      <c r="G181" s="633"/>
      <c r="H181" s="2"/>
      <c r="I181" s="2"/>
    </row>
    <row r="182" spans="1:9" x14ac:dyDescent="0.25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5">
      <c r="A183" s="28" t="s">
        <v>147</v>
      </c>
      <c r="B183" s="132" t="s">
        <v>145</v>
      </c>
      <c r="C183" s="133"/>
      <c r="D183" s="136">
        <v>4600</v>
      </c>
      <c r="E183" s="32" t="s">
        <v>146</v>
      </c>
      <c r="F183" s="134">
        <f>50*D183</f>
        <v>230000</v>
      </c>
      <c r="G183" s="2"/>
      <c r="H183" s="2"/>
      <c r="I183" s="2"/>
    </row>
    <row r="184" spans="1:9" x14ac:dyDescent="0.25">
      <c r="A184" s="28" t="s">
        <v>148</v>
      </c>
      <c r="B184" s="18"/>
      <c r="C184" s="31"/>
      <c r="D184" s="31"/>
      <c r="E184" s="32"/>
      <c r="F184" s="33"/>
      <c r="G184" s="2"/>
      <c r="H184" s="2"/>
      <c r="I184" s="2"/>
    </row>
    <row r="185" spans="1:9" x14ac:dyDescent="0.25">
      <c r="A185" s="28" t="s">
        <v>147</v>
      </c>
      <c r="B185" s="456" t="s">
        <v>351</v>
      </c>
      <c r="C185" s="634"/>
      <c r="D185" s="17" t="s">
        <v>147</v>
      </c>
      <c r="E185" s="635" t="s">
        <v>150</v>
      </c>
      <c r="F185" s="635"/>
      <c r="G185" s="2"/>
      <c r="I185" s="2"/>
    </row>
    <row r="186" spans="1:9" x14ac:dyDescent="0.25">
      <c r="A186" s="28" t="s">
        <v>148</v>
      </c>
      <c r="B186" s="18"/>
      <c r="C186" s="31"/>
      <c r="D186" s="31"/>
      <c r="E186" s="635"/>
      <c r="F186" s="635"/>
      <c r="G186" s="2"/>
      <c r="H186" s="2"/>
      <c r="I186" s="2"/>
    </row>
    <row r="187" spans="1:9" x14ac:dyDescent="0.25">
      <c r="A187" s="2"/>
      <c r="B187" s="18"/>
      <c r="C187" s="31"/>
      <c r="D187" s="31"/>
      <c r="E187" s="32"/>
      <c r="F187" s="33"/>
      <c r="G187" s="2"/>
      <c r="H187" s="2"/>
      <c r="I187" s="2"/>
    </row>
    <row r="188" spans="1:9" x14ac:dyDescent="0.25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5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5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5">
      <c r="A191" s="2"/>
      <c r="B191" s="18"/>
      <c r="C191" s="31"/>
      <c r="D191" s="31"/>
      <c r="E191" s="32"/>
      <c r="F191" s="33"/>
      <c r="G191" s="560" t="s">
        <v>28</v>
      </c>
      <c r="H191" s="560"/>
      <c r="I191" s="2"/>
    </row>
    <row r="192" spans="1:9" x14ac:dyDescent="0.25">
      <c r="A192" s="2"/>
      <c r="B192" s="2"/>
      <c r="C192" s="201"/>
      <c r="D192" s="201"/>
      <c r="E192" s="68"/>
      <c r="F192" s="32"/>
      <c r="G192" s="560"/>
      <c r="H192" s="560"/>
      <c r="I192" s="2"/>
    </row>
    <row r="193" spans="1:11" ht="15" customHeight="1" x14ac:dyDescent="0.25">
      <c r="A193" s="2"/>
      <c r="B193" s="2"/>
      <c r="C193" s="201"/>
      <c r="D193" s="201"/>
      <c r="E193" s="68"/>
      <c r="F193" s="32"/>
      <c r="G193" s="560"/>
      <c r="H193" s="560"/>
      <c r="I193" s="2"/>
    </row>
    <row r="194" spans="1:11" ht="15" customHeight="1" x14ac:dyDescent="0.25">
      <c r="A194" s="2"/>
      <c r="B194" s="2"/>
      <c r="C194" s="201"/>
      <c r="D194" s="201"/>
      <c r="E194" s="68"/>
      <c r="F194" s="32"/>
      <c r="G194" s="202"/>
      <c r="H194" s="202"/>
      <c r="I194" s="2"/>
    </row>
    <row r="195" spans="1:11" x14ac:dyDescent="0.25">
      <c r="A195" s="393" t="s">
        <v>677</v>
      </c>
      <c r="B195" s="394"/>
      <c r="C195" s="394"/>
      <c r="D195" s="394"/>
      <c r="E195" s="395"/>
      <c r="F195" s="2"/>
      <c r="G195" s="203"/>
      <c r="H195" s="203"/>
      <c r="I195" s="2"/>
    </row>
    <row r="196" spans="1:11" x14ac:dyDescent="0.25">
      <c r="A196" s="2"/>
      <c r="B196" s="2"/>
      <c r="C196" s="201"/>
      <c r="D196" s="201"/>
      <c r="E196" s="68"/>
      <c r="F196" s="32"/>
      <c r="G196" s="203"/>
      <c r="H196" s="203"/>
      <c r="I196" s="2"/>
    </row>
    <row r="197" spans="1:11" ht="15.75" x14ac:dyDescent="0.25">
      <c r="A197" s="2"/>
      <c r="B197" s="2"/>
      <c r="C197" s="48" t="s">
        <v>419</v>
      </c>
      <c r="D197" s="204"/>
      <c r="E197" s="204"/>
      <c r="F197" s="205">
        <f>E31</f>
        <v>210</v>
      </c>
      <c r="G197" s="206">
        <v>25</v>
      </c>
      <c r="H197" s="207" t="s">
        <v>76</v>
      </c>
      <c r="I197" s="208"/>
    </row>
    <row r="198" spans="1:11" ht="15.75" customHeight="1" x14ac:dyDescent="0.25">
      <c r="A198" s="2"/>
      <c r="B198" s="7"/>
      <c r="C198" s="48" t="s">
        <v>678</v>
      </c>
      <c r="D198" s="209"/>
      <c r="E198" s="209"/>
      <c r="F198" s="49"/>
      <c r="G198" s="206">
        <v>80</v>
      </c>
      <c r="H198" s="207" t="s">
        <v>300</v>
      </c>
      <c r="I198" s="208"/>
    </row>
    <row r="199" spans="1:11" x14ac:dyDescent="0.25">
      <c r="A199" s="2"/>
      <c r="B199" s="7"/>
      <c r="C199" s="48"/>
      <c r="D199" s="209"/>
      <c r="E199" s="209"/>
      <c r="F199" s="49"/>
      <c r="G199" s="206"/>
      <c r="H199" s="207"/>
      <c r="I199" s="208"/>
    </row>
    <row r="200" spans="1:11" x14ac:dyDescent="0.25">
      <c r="A200" s="2"/>
      <c r="B200" s="7"/>
      <c r="C200" s="48" t="s">
        <v>420</v>
      </c>
      <c r="D200" s="209"/>
      <c r="E200" s="209"/>
      <c r="F200" s="49"/>
      <c r="G200" s="206"/>
      <c r="H200" s="207"/>
      <c r="I200" s="208"/>
    </row>
    <row r="201" spans="1:11" x14ac:dyDescent="0.25">
      <c r="A201" s="2"/>
      <c r="B201" s="7"/>
      <c r="C201" s="561" t="str">
        <f>IF(F70="si","      ACERO DE",IF(AND(F70="no"),"-"))</f>
        <v xml:space="preserve">      ACERO DE</v>
      </c>
      <c r="D201" s="562"/>
      <c r="E201" s="210" t="str">
        <f>IF(F70="si","3/8""",IF(AND(F70="no"),"-"))</f>
        <v>3/8"</v>
      </c>
      <c r="F201" s="49"/>
      <c r="G201" s="206">
        <v>180</v>
      </c>
      <c r="H201" s="207" t="str">
        <f>IF(F70="si","kg",IF(AND(F70="no"),"-"))</f>
        <v>kg</v>
      </c>
      <c r="I201" s="208"/>
      <c r="K201" s="54"/>
    </row>
    <row r="202" spans="1:11" x14ac:dyDescent="0.25">
      <c r="A202" s="2"/>
      <c r="B202" s="583" t="s">
        <v>242</v>
      </c>
      <c r="C202" s="561" t="str">
        <f>IF(F71="si","      ACERO DE",IF(AND(F71="no"),"-"))</f>
        <v xml:space="preserve">      ACERO DE</v>
      </c>
      <c r="D202" s="562"/>
      <c r="E202" s="210" t="str">
        <f>IF(F71="si","1/2""",IF(AND(F71="no"),"-"))</f>
        <v>1/2"</v>
      </c>
      <c r="F202" s="49"/>
      <c r="G202" s="206">
        <v>320</v>
      </c>
      <c r="H202" s="207" t="str">
        <f>IF(F71="si","kg",IF(AND(F71="no"),"-"))</f>
        <v>kg</v>
      </c>
      <c r="I202" s="208"/>
    </row>
    <row r="203" spans="1:11" x14ac:dyDescent="0.25">
      <c r="A203" s="2"/>
      <c r="B203" s="583"/>
      <c r="C203" s="561" t="str">
        <f>IF(F72="si","      ACERO DE",IF(AND(F72="no"),"-"))</f>
        <v xml:space="preserve">      ACERO DE</v>
      </c>
      <c r="D203" s="562"/>
      <c r="E203" s="210" t="str">
        <f>IF(F72="si","5/8""",IF(AND(F72="no"),"-"))</f>
        <v>5/8"</v>
      </c>
      <c r="F203" s="49"/>
      <c r="G203" s="206">
        <v>200</v>
      </c>
      <c r="H203" s="207" t="str">
        <f>IF(F72="si","kg",IF(AND(F72="no"),"-"))</f>
        <v>kg</v>
      </c>
      <c r="I203" s="208"/>
    </row>
    <row r="204" spans="1:11" x14ac:dyDescent="0.25">
      <c r="A204" s="2"/>
      <c r="B204" s="583"/>
      <c r="C204" s="561" t="str">
        <f>IF(F73="si","      ACERO DE",IF(AND(F73="no"),"-"))</f>
        <v>-</v>
      </c>
      <c r="D204" s="562"/>
      <c r="E204" s="210" t="str">
        <f>IF(F73="si","3/4""",IF(AND(F73="no"),"-"))</f>
        <v>-</v>
      </c>
      <c r="F204" s="49"/>
      <c r="G204" s="206">
        <v>0</v>
      </c>
      <c r="H204" s="207" t="str">
        <f>IF(F73="si","kg",IF(AND(F73="no"),"-"))</f>
        <v>-</v>
      </c>
      <c r="I204" s="208"/>
    </row>
    <row r="205" spans="1:11" x14ac:dyDescent="0.25">
      <c r="A205" s="2"/>
      <c r="B205" s="583"/>
      <c r="C205" s="561" t="str">
        <f>IF(F74="si","      ACERO DE",IF(AND(F74="no"),"-"))</f>
        <v>-</v>
      </c>
      <c r="D205" s="562"/>
      <c r="E205" s="210" t="str">
        <f>IF(F74="si","1""",IF(AND(F74="no"),"-"))</f>
        <v>-</v>
      </c>
      <c r="F205" s="49"/>
      <c r="G205" s="206">
        <v>0</v>
      </c>
      <c r="H205" s="207" t="str">
        <f>IF(F74="si","kg",IF(AND(F74="no"),"-"))</f>
        <v>-</v>
      </c>
      <c r="I205" s="208"/>
    </row>
    <row r="206" spans="1:11" x14ac:dyDescent="0.25">
      <c r="A206" s="2"/>
      <c r="B206" s="2"/>
      <c r="C206" s="48"/>
      <c r="D206" s="209"/>
      <c r="E206" s="209"/>
      <c r="F206" s="49"/>
      <c r="G206" s="206"/>
      <c r="H206" s="207"/>
      <c r="I206" s="208"/>
    </row>
    <row r="207" spans="1:11" x14ac:dyDescent="0.25">
      <c r="A207" s="2"/>
      <c r="B207" s="2"/>
      <c r="C207" s="48" t="s">
        <v>421</v>
      </c>
      <c r="D207" s="209"/>
      <c r="E207" s="209"/>
      <c r="F207" s="49"/>
      <c r="G207" s="206"/>
      <c r="H207" s="207"/>
      <c r="I207" s="208"/>
    </row>
    <row r="208" spans="1:11" x14ac:dyDescent="0.25">
      <c r="A208" s="2"/>
      <c r="B208" s="2"/>
      <c r="C208" s="561" t="str">
        <f>IF(F80="si","      ACERO DE",IF(AND(F80="no"),"-"))</f>
        <v>-</v>
      </c>
      <c r="D208" s="562"/>
      <c r="E208" s="210" t="str">
        <f>IF(F80="si","6 mm",IF(AND(F80="no"),"-"))</f>
        <v>-</v>
      </c>
      <c r="F208" s="49"/>
      <c r="G208" s="206">
        <v>0</v>
      </c>
      <c r="H208" s="207" t="str">
        <f>IF(F80="si","kg",IF(AND(F80="no"),"-"))</f>
        <v>-</v>
      </c>
      <c r="I208" s="208"/>
      <c r="K208" s="54"/>
    </row>
    <row r="209" spans="1:10" x14ac:dyDescent="0.25">
      <c r="A209" s="2"/>
      <c r="B209" s="2"/>
      <c r="C209" s="561" t="str">
        <f>IF(F81="si","      ACERO DE",IF(AND(F81="no"),"-"))</f>
        <v xml:space="preserve">      ACERO DE</v>
      </c>
      <c r="D209" s="562"/>
      <c r="E209" s="210" t="str">
        <f>IF(F81="si","8 mm",IF(AND(F81="no"),"-"))</f>
        <v>8 mm</v>
      </c>
      <c r="F209" s="49"/>
      <c r="G209" s="206">
        <v>250</v>
      </c>
      <c r="H209" s="207" t="str">
        <f>IF(F81="si","kg",IF(AND(F81="no"),"-"))</f>
        <v>kg</v>
      </c>
      <c r="I209" s="208"/>
    </row>
    <row r="210" spans="1:10" x14ac:dyDescent="0.25">
      <c r="A210" s="2"/>
      <c r="B210" s="2"/>
      <c r="C210" s="561" t="str">
        <f>IF(F82="si","      ACERO DE",IF(AND(F82="no"),"-"))</f>
        <v xml:space="preserve">      ACERO DE</v>
      </c>
      <c r="D210" s="562"/>
      <c r="E210" s="210" t="str">
        <f>IF(F82="si","3/8""",IF(AND(F82="no"),"-"))</f>
        <v>3/8"</v>
      </c>
      <c r="F210" s="49"/>
      <c r="G210" s="206">
        <v>150</v>
      </c>
      <c r="H210" s="207" t="str">
        <f>IF(F82="si","kg",IF(AND(F82="no"),"-"))</f>
        <v>kg</v>
      </c>
      <c r="I210" s="208"/>
    </row>
    <row r="211" spans="1:10" x14ac:dyDescent="0.25">
      <c r="A211" s="2"/>
      <c r="B211" s="2"/>
      <c r="C211" s="201"/>
      <c r="D211" s="201"/>
      <c r="E211" s="68"/>
      <c r="F211" s="32"/>
      <c r="G211" s="34"/>
      <c r="H211" s="2"/>
      <c r="I211" s="2"/>
      <c r="J211" s="211"/>
    </row>
    <row r="212" spans="1:10" x14ac:dyDescent="0.25">
      <c r="A212" s="2"/>
      <c r="B212" s="2"/>
      <c r="C212" s="201"/>
      <c r="D212" s="201"/>
      <c r="E212" s="68"/>
      <c r="F212" s="32"/>
      <c r="G212" s="34"/>
      <c r="H212" s="2"/>
      <c r="I212" s="2"/>
      <c r="J212" s="211"/>
    </row>
    <row r="213" spans="1:10" x14ac:dyDescent="0.25">
      <c r="A213" s="2"/>
      <c r="B213" s="2"/>
      <c r="C213" s="201"/>
      <c r="D213" s="201"/>
      <c r="E213" s="68"/>
      <c r="F213" s="32"/>
      <c r="G213" s="34"/>
      <c r="H213" s="2"/>
      <c r="I213" s="2"/>
      <c r="J213" s="211"/>
    </row>
    <row r="214" spans="1:10" ht="15.75" x14ac:dyDescent="0.25">
      <c r="A214" s="798" t="s">
        <v>30</v>
      </c>
      <c r="B214" s="798"/>
      <c r="C214" s="798"/>
      <c r="D214" s="2"/>
      <c r="E214" s="2"/>
      <c r="F214" s="2"/>
      <c r="G214" s="2"/>
      <c r="H214" s="2"/>
      <c r="I214" s="2"/>
    </row>
    <row r="215" spans="1:10" x14ac:dyDescent="0.25">
      <c r="A215" s="212"/>
      <c r="B215" s="212"/>
      <c r="C215" s="212"/>
      <c r="D215" s="2"/>
      <c r="E215" s="2"/>
      <c r="F215" s="2"/>
      <c r="G215" s="2"/>
      <c r="H215" s="2"/>
      <c r="I215" s="2"/>
    </row>
    <row r="216" spans="1:10" x14ac:dyDescent="0.25">
      <c r="A216" s="393" t="s">
        <v>422</v>
      </c>
      <c r="B216" s="394"/>
      <c r="C216" s="394"/>
      <c r="D216" s="394"/>
      <c r="E216" s="394"/>
      <c r="F216" s="2"/>
      <c r="G216" s="2"/>
      <c r="H216" s="2"/>
      <c r="I216" s="2"/>
    </row>
    <row r="217" spans="1:10" x14ac:dyDescent="0.25">
      <c r="A217" s="22"/>
      <c r="B217" s="2"/>
      <c r="C217" s="2"/>
      <c r="D217" s="2"/>
      <c r="E217" s="2"/>
      <c r="F217" s="2"/>
      <c r="G217" s="2"/>
      <c r="H217" s="2"/>
      <c r="I217" s="2"/>
    </row>
    <row r="218" spans="1:10" x14ac:dyDescent="0.25">
      <c r="A218" s="2"/>
      <c r="B218" s="22" t="s">
        <v>679</v>
      </c>
      <c r="C218" s="2"/>
      <c r="D218" s="2"/>
      <c r="E218" s="2"/>
      <c r="F218" s="2"/>
      <c r="G218" s="2"/>
      <c r="H218" s="2"/>
      <c r="I218" s="2"/>
    </row>
    <row r="219" spans="1:10" x14ac:dyDescent="0.25">
      <c r="A219" s="2"/>
      <c r="B219" s="22"/>
      <c r="C219" s="2"/>
      <c r="D219" s="2"/>
      <c r="E219" s="2"/>
      <c r="F219" s="2"/>
      <c r="G219" s="2"/>
      <c r="H219" s="2"/>
      <c r="I219" s="2"/>
    </row>
    <row r="220" spans="1:10" ht="15.75" x14ac:dyDescent="0.25">
      <c r="A220" s="2"/>
      <c r="B220" s="2"/>
      <c r="C220" s="589" t="s">
        <v>243</v>
      </c>
      <c r="D220" s="590"/>
      <c r="E220" s="213">
        <f>G197</f>
        <v>25</v>
      </c>
      <c r="F220" s="214" t="s">
        <v>32</v>
      </c>
      <c r="G220" s="2"/>
      <c r="H220" s="2"/>
      <c r="I220" s="2"/>
    </row>
    <row r="221" spans="1:10" x14ac:dyDescent="0.25">
      <c r="A221" s="2"/>
      <c r="B221" s="2"/>
      <c r="C221" s="2"/>
      <c r="D221" s="2"/>
      <c r="E221" s="2"/>
      <c r="F221" s="2"/>
      <c r="G221" s="2"/>
      <c r="H221" s="2"/>
      <c r="I221" s="2"/>
    </row>
    <row r="222" spans="1:10" x14ac:dyDescent="0.25">
      <c r="A222" s="2"/>
      <c r="B222" s="537" t="s">
        <v>680</v>
      </c>
      <c r="C222" s="537"/>
      <c r="D222" s="537"/>
      <c r="E222" s="537"/>
      <c r="F222" s="537"/>
      <c r="G222" s="537"/>
      <c r="H222" s="2"/>
      <c r="I222" s="2"/>
    </row>
    <row r="223" spans="1:10" x14ac:dyDescent="0.25">
      <c r="A223" s="2"/>
      <c r="B223" s="215"/>
      <c r="C223" s="563" t="s">
        <v>244</v>
      </c>
      <c r="D223" s="563"/>
      <c r="E223" s="563"/>
      <c r="F223" s="216">
        <f>F40</f>
        <v>0.05</v>
      </c>
      <c r="G223" s="2"/>
      <c r="H223" s="2"/>
      <c r="I223" s="2"/>
    </row>
    <row r="224" spans="1:10" ht="15.75" x14ac:dyDescent="0.25">
      <c r="A224" s="2"/>
      <c r="B224" s="2"/>
      <c r="C224" s="573" t="s">
        <v>245</v>
      </c>
      <c r="D224" s="585"/>
      <c r="E224" s="217">
        <f>E220+E220*F223</f>
        <v>26.25</v>
      </c>
      <c r="F224" s="218" t="s">
        <v>32</v>
      </c>
      <c r="G224" s="2"/>
      <c r="H224" s="2"/>
      <c r="I224" s="2"/>
    </row>
    <row r="225" spans="1:10" x14ac:dyDescent="0.25">
      <c r="A225" s="2"/>
      <c r="B225" s="2"/>
      <c r="C225" s="76"/>
      <c r="D225" s="76"/>
      <c r="E225" s="78"/>
      <c r="F225" s="4"/>
      <c r="G225" s="2"/>
      <c r="H225" s="2"/>
      <c r="I225" s="2"/>
    </row>
    <row r="226" spans="1:10" x14ac:dyDescent="0.25">
      <c r="A226" s="2"/>
      <c r="B226" s="2"/>
      <c r="C226" s="76"/>
      <c r="D226" s="76"/>
      <c r="E226" s="78"/>
      <c r="F226" s="4"/>
      <c r="G226" s="2"/>
      <c r="H226" s="2"/>
      <c r="I226" s="2"/>
    </row>
    <row r="227" spans="1:10" x14ac:dyDescent="0.25">
      <c r="A227" s="2"/>
      <c r="B227" s="22" t="s">
        <v>423</v>
      </c>
      <c r="C227" s="2"/>
      <c r="D227" s="2"/>
      <c r="E227" s="2"/>
      <c r="F227" s="2"/>
      <c r="G227" s="2"/>
      <c r="H227" s="2"/>
      <c r="I227" s="2"/>
    </row>
    <row r="228" spans="1:10" ht="15.75" x14ac:dyDescent="0.25">
      <c r="A228" s="2"/>
      <c r="B228" s="2"/>
      <c r="C228" s="586" t="s">
        <v>301</v>
      </c>
      <c r="D228" s="586"/>
      <c r="E228" s="586"/>
      <c r="F228" s="219">
        <f>F197</f>
        <v>210</v>
      </c>
      <c r="G228" s="220"/>
      <c r="H228" s="2"/>
      <c r="I228" s="2"/>
    </row>
    <row r="229" spans="1:10" ht="15.75" x14ac:dyDescent="0.25">
      <c r="A229" s="2"/>
      <c r="B229" s="2"/>
      <c r="C229" s="43" t="s">
        <v>195</v>
      </c>
      <c r="D229" s="49"/>
      <c r="E229" s="49"/>
      <c r="F229" s="146">
        <f>F34</f>
        <v>9.73</v>
      </c>
      <c r="G229" s="221" t="s">
        <v>302</v>
      </c>
      <c r="H229" s="2"/>
      <c r="I229" s="2"/>
    </row>
    <row r="230" spans="1:10" ht="15.75" x14ac:dyDescent="0.25">
      <c r="A230" s="2"/>
      <c r="B230" s="2"/>
      <c r="C230" s="43" t="s">
        <v>196</v>
      </c>
      <c r="D230" s="49"/>
      <c r="E230" s="49"/>
      <c r="F230" s="146">
        <f>F35</f>
        <v>0.52</v>
      </c>
      <c r="G230" s="221" t="s">
        <v>303</v>
      </c>
      <c r="H230" s="2"/>
      <c r="I230" s="2"/>
    </row>
    <row r="231" spans="1:10" ht="15.75" x14ac:dyDescent="0.25">
      <c r="A231" s="2"/>
      <c r="B231" s="2"/>
      <c r="C231" s="43" t="s">
        <v>197</v>
      </c>
      <c r="D231" s="49"/>
      <c r="E231" s="49"/>
      <c r="F231" s="146">
        <f>F36</f>
        <v>0.53</v>
      </c>
      <c r="G231" s="221" t="s">
        <v>303</v>
      </c>
      <c r="H231" s="2"/>
      <c r="I231" s="2"/>
    </row>
    <row r="232" spans="1:10" ht="15.75" x14ac:dyDescent="0.25">
      <c r="A232" s="2"/>
      <c r="B232" s="2"/>
      <c r="C232" s="43" t="s">
        <v>198</v>
      </c>
      <c r="D232" s="49"/>
      <c r="E232" s="49"/>
      <c r="F232" s="145">
        <f>F37</f>
        <v>0.186</v>
      </c>
      <c r="G232" s="221" t="s">
        <v>303</v>
      </c>
      <c r="H232" s="2"/>
      <c r="I232" s="2"/>
    </row>
    <row r="233" spans="1:10" x14ac:dyDescent="0.25">
      <c r="A233" s="2"/>
      <c r="B233" s="2"/>
      <c r="C233" s="2"/>
      <c r="D233" s="2"/>
      <c r="E233" s="2"/>
      <c r="F233" s="2"/>
      <c r="G233" s="2"/>
      <c r="H233" s="2"/>
      <c r="I233" s="2"/>
    </row>
    <row r="234" spans="1:10" x14ac:dyDescent="0.25">
      <c r="A234" s="2"/>
      <c r="B234" s="2"/>
      <c r="C234" s="2"/>
      <c r="D234" s="2"/>
      <c r="E234" s="2"/>
      <c r="F234" s="2"/>
      <c r="G234" s="2"/>
      <c r="H234" s="2"/>
      <c r="I234" s="2"/>
    </row>
    <row r="235" spans="1:10" x14ac:dyDescent="0.25">
      <c r="A235" s="2"/>
      <c r="B235" s="537" t="s">
        <v>681</v>
      </c>
      <c r="C235" s="537"/>
      <c r="D235" s="537"/>
      <c r="E235" s="537"/>
      <c r="F235" s="537"/>
      <c r="G235" s="537"/>
      <c r="H235" s="537"/>
      <c r="I235" s="2"/>
      <c r="J235" s="54"/>
    </row>
    <row r="236" spans="1:10" x14ac:dyDescent="0.25">
      <c r="A236" s="2"/>
      <c r="B236" s="2"/>
      <c r="C236" s="2"/>
      <c r="D236" s="25" t="s">
        <v>244</v>
      </c>
      <c r="E236" s="2"/>
      <c r="F236" s="2"/>
      <c r="G236" s="216">
        <v>0.05</v>
      </c>
      <c r="H236" s="2"/>
      <c r="I236" s="2"/>
    </row>
    <row r="237" spans="1:10" x14ac:dyDescent="0.25">
      <c r="A237" s="2"/>
      <c r="B237" s="2"/>
      <c r="C237" s="222" t="s">
        <v>195</v>
      </c>
      <c r="D237" s="223"/>
      <c r="E237" s="223"/>
      <c r="F237" s="217">
        <f>(F229*E220)+(F229*E220)*G236</f>
        <v>255.41249999999999</v>
      </c>
      <c r="G237" s="218" t="s">
        <v>35</v>
      </c>
      <c r="H237" s="2"/>
      <c r="I237" s="179"/>
      <c r="J237" s="152"/>
    </row>
    <row r="238" spans="1:10" ht="15.75" x14ac:dyDescent="0.25">
      <c r="A238" s="2"/>
      <c r="B238" s="2"/>
      <c r="C238" s="222" t="s">
        <v>196</v>
      </c>
      <c r="D238" s="223"/>
      <c r="E238" s="223"/>
      <c r="F238" s="217">
        <f>(F230*E220)+(F230*E220)*G236</f>
        <v>13.65</v>
      </c>
      <c r="G238" s="218" t="s">
        <v>32</v>
      </c>
      <c r="H238" s="2"/>
      <c r="I238" s="179"/>
      <c r="J238" s="152"/>
    </row>
    <row r="239" spans="1:10" ht="15.75" x14ac:dyDescent="0.25">
      <c r="A239" s="2"/>
      <c r="B239" s="2"/>
      <c r="C239" s="222" t="s">
        <v>197</v>
      </c>
      <c r="D239" s="223"/>
      <c r="E239" s="223"/>
      <c r="F239" s="217">
        <f>(F231*E220)+(F231*E220)*G236</f>
        <v>13.9125</v>
      </c>
      <c r="G239" s="218" t="s">
        <v>32</v>
      </c>
      <c r="H239" s="2"/>
      <c r="I239" s="179"/>
      <c r="J239" s="152"/>
    </row>
    <row r="240" spans="1:10" ht="15.75" x14ac:dyDescent="0.25">
      <c r="A240" s="2"/>
      <c r="B240" s="2"/>
      <c r="C240" s="222" t="s">
        <v>198</v>
      </c>
      <c r="D240" s="223"/>
      <c r="E240" s="223"/>
      <c r="F240" s="224">
        <f>(F232*E220)+(F232*E220)*G236</f>
        <v>4.8825000000000003</v>
      </c>
      <c r="G240" s="218" t="s">
        <v>32</v>
      </c>
      <c r="H240" s="2"/>
      <c r="I240" s="179"/>
    </row>
    <row r="241" spans="1:9" x14ac:dyDescent="0.25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5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5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5">
      <c r="A244" s="393" t="s">
        <v>424</v>
      </c>
      <c r="B244" s="394"/>
      <c r="C244" s="394"/>
      <c r="D244" s="394"/>
      <c r="E244" s="2"/>
      <c r="F244" s="2"/>
      <c r="G244" s="2"/>
      <c r="H244" s="2"/>
      <c r="I244" s="2"/>
    </row>
    <row r="245" spans="1:9" x14ac:dyDescent="0.25">
      <c r="A245" s="22"/>
      <c r="B245" s="2"/>
      <c r="C245" s="2"/>
      <c r="D245" s="2"/>
      <c r="E245" s="2"/>
      <c r="F245" s="2"/>
      <c r="G245" s="2"/>
      <c r="H245" s="2"/>
      <c r="I245" s="2"/>
    </row>
    <row r="246" spans="1:9" ht="15.75" x14ac:dyDescent="0.25">
      <c r="A246" s="2"/>
      <c r="B246" s="2"/>
      <c r="C246" s="587" t="s">
        <v>682</v>
      </c>
      <c r="D246" s="587"/>
      <c r="E246" s="587"/>
      <c r="F246" s="587"/>
      <c r="G246" s="587"/>
      <c r="H246" s="2"/>
      <c r="I246" s="2"/>
    </row>
    <row r="247" spans="1:9" ht="15.75" x14ac:dyDescent="0.25">
      <c r="A247" s="2"/>
      <c r="B247" s="2"/>
      <c r="C247" s="43" t="s">
        <v>246</v>
      </c>
      <c r="D247" s="49"/>
      <c r="E247" s="49"/>
      <c r="F247" s="146">
        <f>E91</f>
        <v>5.41</v>
      </c>
      <c r="G247" s="50" t="s">
        <v>304</v>
      </c>
      <c r="H247" s="2"/>
      <c r="I247" s="2"/>
    </row>
    <row r="248" spans="1:9" ht="15.75" x14ac:dyDescent="0.25">
      <c r="A248" s="2"/>
      <c r="B248" s="2"/>
      <c r="C248" s="43" t="s">
        <v>247</v>
      </c>
      <c r="D248" s="49"/>
      <c r="E248" s="49"/>
      <c r="F248" s="146">
        <f>E92</f>
        <v>0.24</v>
      </c>
      <c r="G248" s="50" t="s">
        <v>305</v>
      </c>
      <c r="H248" s="2"/>
      <c r="I248" s="2"/>
    </row>
    <row r="249" spans="1:9" ht="15.75" x14ac:dyDescent="0.25">
      <c r="A249" s="2"/>
      <c r="B249" s="2"/>
      <c r="C249" s="43" t="s">
        <v>425</v>
      </c>
      <c r="D249" s="49"/>
      <c r="E249" s="49"/>
      <c r="F249" s="146">
        <f>E93</f>
        <v>0.21</v>
      </c>
      <c r="G249" s="50" t="s">
        <v>305</v>
      </c>
      <c r="H249" s="2"/>
      <c r="I249" s="2"/>
    </row>
    <row r="250" spans="1:9" x14ac:dyDescent="0.25">
      <c r="A250" s="2"/>
      <c r="B250" s="2"/>
      <c r="C250" s="6"/>
      <c r="D250" s="2"/>
      <c r="E250" s="2"/>
      <c r="F250" s="2"/>
      <c r="G250" s="2"/>
      <c r="H250" s="2"/>
      <c r="I250" s="2"/>
    </row>
    <row r="251" spans="1:9" x14ac:dyDescent="0.25">
      <c r="A251" s="2"/>
      <c r="B251" s="537" t="s">
        <v>248</v>
      </c>
      <c r="C251" s="537"/>
      <c r="D251" s="537"/>
      <c r="E251" s="537"/>
      <c r="F251" s="537"/>
      <c r="G251" s="537"/>
      <c r="H251" s="537"/>
      <c r="I251" s="2"/>
    </row>
    <row r="252" spans="1:9" x14ac:dyDescent="0.25">
      <c r="A252" s="2"/>
      <c r="B252" s="2"/>
      <c r="C252" s="215"/>
      <c r="D252" s="563" t="s">
        <v>249</v>
      </c>
      <c r="E252" s="563"/>
      <c r="F252" s="225">
        <v>0.05</v>
      </c>
      <c r="G252" s="215"/>
      <c r="H252" s="2"/>
      <c r="I252" s="2"/>
    </row>
    <row r="253" spans="1:9" ht="15.75" x14ac:dyDescent="0.25">
      <c r="A253" s="2"/>
      <c r="B253" s="2"/>
      <c r="C253" s="222" t="s">
        <v>246</v>
      </c>
      <c r="D253" s="223"/>
      <c r="E253" s="223"/>
      <c r="F253" s="217">
        <f>(F247*G198)+(F247*G198)*F252</f>
        <v>454.44</v>
      </c>
      <c r="G253" s="218" t="s">
        <v>306</v>
      </c>
      <c r="H253" s="2"/>
      <c r="I253" s="180"/>
    </row>
    <row r="254" spans="1:9" x14ac:dyDescent="0.25">
      <c r="A254" s="2"/>
      <c r="B254" s="2"/>
      <c r="C254" s="222" t="s">
        <v>247</v>
      </c>
      <c r="D254" s="223"/>
      <c r="E254" s="223"/>
      <c r="F254" s="217">
        <f>(F248*G198)+(F248*G198)*F252</f>
        <v>20.16</v>
      </c>
      <c r="G254" s="218" t="s">
        <v>169</v>
      </c>
      <c r="H254" s="2"/>
      <c r="I254" s="180"/>
    </row>
    <row r="255" spans="1:9" x14ac:dyDescent="0.25">
      <c r="A255" s="2"/>
      <c r="B255" s="2"/>
      <c r="C255" s="222" t="s">
        <v>426</v>
      </c>
      <c r="D255" s="223"/>
      <c r="E255" s="223"/>
      <c r="F255" s="217">
        <f>(F249*G198)+(F249*G198)*F252</f>
        <v>17.64</v>
      </c>
      <c r="G255" s="218" t="s">
        <v>169</v>
      </c>
      <c r="H255" s="2"/>
      <c r="I255" s="180"/>
    </row>
    <row r="256" spans="1:9" x14ac:dyDescent="0.25">
      <c r="A256" s="2"/>
      <c r="B256" s="2"/>
      <c r="C256" s="6"/>
      <c r="D256" s="2"/>
      <c r="E256" s="2"/>
      <c r="F256" s="2"/>
      <c r="G256" s="2"/>
      <c r="H256" s="2"/>
      <c r="I256" s="2"/>
    </row>
    <row r="257" spans="1:9" x14ac:dyDescent="0.25">
      <c r="A257" s="2"/>
      <c r="B257" s="2"/>
      <c r="C257" s="6"/>
      <c r="D257" s="2"/>
      <c r="E257" s="2"/>
      <c r="F257" s="2"/>
      <c r="G257" s="2"/>
      <c r="H257" s="2"/>
      <c r="I257" s="2"/>
    </row>
    <row r="258" spans="1:9" x14ac:dyDescent="0.25">
      <c r="A258" s="2"/>
      <c r="B258" s="2"/>
      <c r="C258" s="6"/>
      <c r="D258" s="2"/>
      <c r="E258" s="2"/>
      <c r="F258" s="2"/>
      <c r="G258" s="2"/>
      <c r="H258" s="2"/>
      <c r="I258" s="2"/>
    </row>
    <row r="259" spans="1:9" x14ac:dyDescent="0.25">
      <c r="A259" s="393" t="s">
        <v>427</v>
      </c>
      <c r="B259" s="394"/>
      <c r="C259" s="394"/>
      <c r="D259" s="394"/>
      <c r="E259" s="394"/>
      <c r="F259" s="2"/>
      <c r="G259" s="32"/>
      <c r="H259" s="35"/>
      <c r="I259" s="226"/>
    </row>
    <row r="260" spans="1:9" x14ac:dyDescent="0.25">
      <c r="A260" s="22"/>
      <c r="B260" s="2"/>
      <c r="C260" s="2"/>
      <c r="D260" s="2"/>
      <c r="E260" s="2"/>
      <c r="F260" s="2"/>
      <c r="G260" s="32"/>
      <c r="H260" s="35"/>
      <c r="I260" s="226"/>
    </row>
    <row r="261" spans="1:9" x14ac:dyDescent="0.25">
      <c r="A261" s="22"/>
      <c r="B261" s="2"/>
      <c r="C261" s="587" t="s">
        <v>307</v>
      </c>
      <c r="D261" s="587"/>
      <c r="E261" s="587"/>
      <c r="F261" s="587"/>
      <c r="G261" s="587"/>
      <c r="H261" s="35"/>
      <c r="I261" s="226"/>
    </row>
    <row r="262" spans="1:9" x14ac:dyDescent="0.25">
      <c r="A262" s="22"/>
      <c r="B262" s="2"/>
      <c r="C262" s="43" t="s">
        <v>250</v>
      </c>
      <c r="D262" s="227"/>
      <c r="E262" s="228"/>
      <c r="F262" s="145">
        <f>1+(((F283*F284*F266)/(F283*F284*F266+F283*F285*F267+F283*(F286+F276)*F268+F275*F277*F269+F275*F278*F270+F275*F279*F271+F275*F280*F272))*F291+((F283*F285*F267)/(F283*F284*F266+F283*F285*F267+F283*(F286+F276)*F268+F275*F277*F269+F275*F278*F270+F275*F279*F271+F275*F280*F272))*F292+((F283*(F286+F276)*F268)/(F283*F284*F266+F283*F285*F267+F283*(F286+F276)*F268+F275*F277*F269+F275*F278*F270+F275*F279*F271+F275*F280*F272))*F293+((F275*F277*F269)/(F283*F284*F266+F283*F285*F267+F283*(F286+F276)*F268+F275*F277*F269+F275*F278*F270+F275*F279*F271+F275*F280*F272))*F294+((F275*F278*F270)/(F283*F284*F266+F283*F285*F267+F283*(F286+F276)*F268+F275*F277*F269+F275*F278*F270+F275*F279*F271+F275*F280*F272))*F295+((F275*F279*F271)/(F283*F284*F266+F283*F285*F267+F283*(F286+F276)*F268+F275*F277*F269+F275*F278*F270+F275*F279*F271+F275*F280*F272))*F296+((F275*F280*F272)/(F283*F284*F266+F283*F285*F267+F283*(F286+F276)*F268+F275*F277*F269+F275*F278*F270+F275*F279*F271+F275*F280*F272))*F297)</f>
        <v>1.0430909090909091</v>
      </c>
      <c r="G262" s="207" t="s">
        <v>169</v>
      </c>
      <c r="H262" s="35"/>
      <c r="I262" s="226"/>
    </row>
    <row r="263" spans="1:9" x14ac:dyDescent="0.25">
      <c r="A263" s="22"/>
      <c r="B263" s="2"/>
      <c r="C263" s="593" t="s">
        <v>238</v>
      </c>
      <c r="D263" s="594"/>
      <c r="E263" s="228"/>
      <c r="F263" s="229">
        <f>F85</f>
        <v>0.05</v>
      </c>
      <c r="G263" s="207" t="s">
        <v>169</v>
      </c>
      <c r="H263" s="35"/>
      <c r="I263" s="226"/>
    </row>
    <row r="264" spans="1:9" x14ac:dyDescent="0.25">
      <c r="A264" s="22"/>
      <c r="B264" s="2"/>
      <c r="C264" s="2"/>
      <c r="D264" s="2"/>
      <c r="E264" s="2"/>
      <c r="F264" s="2"/>
      <c r="G264" s="32"/>
      <c r="H264" s="35"/>
      <c r="I264" s="226"/>
    </row>
    <row r="265" spans="1:9" x14ac:dyDescent="0.25">
      <c r="A265" s="2"/>
      <c r="B265" s="6"/>
      <c r="C265" s="595" t="s">
        <v>251</v>
      </c>
      <c r="D265" s="587"/>
      <c r="E265" s="587"/>
      <c r="F265" s="587"/>
      <c r="G265" s="587"/>
      <c r="H265" s="2"/>
      <c r="I265" s="2"/>
    </row>
    <row r="266" spans="1:9" x14ac:dyDescent="0.25">
      <c r="A266" s="2"/>
      <c r="B266" s="2"/>
      <c r="C266" s="591" t="s">
        <v>428</v>
      </c>
      <c r="D266" s="592"/>
      <c r="E266" s="228"/>
      <c r="F266" s="229">
        <f>IF(E208=C58,H58,IF(AND(E208="-"),0))</f>
        <v>0</v>
      </c>
      <c r="G266" s="50" t="str">
        <f>IF(F80="si","kg/m",IF(AND(F80="no"),"-"))</f>
        <v>-</v>
      </c>
      <c r="H266" s="2"/>
      <c r="I266" s="2"/>
    </row>
    <row r="267" spans="1:9" x14ac:dyDescent="0.25">
      <c r="A267" s="2"/>
      <c r="B267" s="2"/>
      <c r="C267" s="591" t="s">
        <v>429</v>
      </c>
      <c r="D267" s="592"/>
      <c r="E267" s="228"/>
      <c r="F267" s="229">
        <f>IF(E209=C59,H59,IF(AND(E209="-"),0))</f>
        <v>0.39500000000000002</v>
      </c>
      <c r="G267" s="50" t="str">
        <f>IF(F81="si","kg/m",IF(AND(F81="no"),"-"))</f>
        <v>kg/m</v>
      </c>
      <c r="H267" s="2"/>
      <c r="I267" s="2"/>
    </row>
    <row r="268" spans="1:9" x14ac:dyDescent="0.25">
      <c r="A268" s="2"/>
      <c r="B268" s="2"/>
      <c r="C268" s="591" t="s">
        <v>252</v>
      </c>
      <c r="D268" s="592"/>
      <c r="E268" s="228"/>
      <c r="F268" s="229">
        <f>IF(E201=C60,H60,IF(AND(E210=C60),H60,IF(AND(E201="-"),0,IF(AND(E210="-"),0))))</f>
        <v>0.55700000000000005</v>
      </c>
      <c r="G268" s="50" t="str">
        <f>IF(F70="si","kg/m",IF(AND(F82="si"),"kg/m",IF(AND(F70="no"),"-",IF(AND(F82="no"),"-"))))</f>
        <v>kg/m</v>
      </c>
      <c r="H268" s="2"/>
      <c r="I268" s="2"/>
    </row>
    <row r="269" spans="1:9" x14ac:dyDescent="0.25">
      <c r="A269" s="2"/>
      <c r="B269" s="2"/>
      <c r="C269" s="591" t="s">
        <v>253</v>
      </c>
      <c r="D269" s="592"/>
      <c r="E269" s="228"/>
      <c r="F269" s="229">
        <f>IF(E202=C61,H61,IF(AND(E202="-"),0))</f>
        <v>0.99399999999999999</v>
      </c>
      <c r="G269" s="50" t="str">
        <f>IF(F71="si","kg/m",IF(AND(F71="no"),"-"))</f>
        <v>kg/m</v>
      </c>
      <c r="H269" s="2"/>
      <c r="I269" s="2"/>
    </row>
    <row r="270" spans="1:9" x14ac:dyDescent="0.25">
      <c r="A270" s="2"/>
      <c r="B270" s="2"/>
      <c r="C270" s="591" t="s">
        <v>254</v>
      </c>
      <c r="D270" s="592"/>
      <c r="E270" s="228"/>
      <c r="F270" s="229">
        <f>IF(E203=C62,H62,IF(AND(E203="-"),0))</f>
        <v>1.552</v>
      </c>
      <c r="G270" s="50" t="str">
        <f>IF(F72="si","kg/m",IF(AND(F72="no"),"-"))</f>
        <v>kg/m</v>
      </c>
      <c r="H270" s="2"/>
      <c r="I270" s="2"/>
    </row>
    <row r="271" spans="1:9" x14ac:dyDescent="0.25">
      <c r="A271" s="2"/>
      <c r="B271" s="2"/>
      <c r="C271" s="591" t="s">
        <v>255</v>
      </c>
      <c r="D271" s="592"/>
      <c r="E271" s="228"/>
      <c r="F271" s="229">
        <f>IF(E204=C63,H63,IF(AND(E204="-"),0))</f>
        <v>0</v>
      </c>
      <c r="G271" s="50" t="str">
        <f>IF(F73="si","kg/m",IF(AND(F73="no"),"-"))</f>
        <v>-</v>
      </c>
      <c r="H271" s="2"/>
      <c r="I271" s="2"/>
    </row>
    <row r="272" spans="1:9" x14ac:dyDescent="0.25">
      <c r="A272" s="2"/>
      <c r="B272" s="2"/>
      <c r="C272" s="591" t="s">
        <v>430</v>
      </c>
      <c r="D272" s="592"/>
      <c r="E272" s="228"/>
      <c r="F272" s="229">
        <f>IF(E205=C64,H64,IF(AND(E205="-"),0))</f>
        <v>0</v>
      </c>
      <c r="G272" s="50" t="str">
        <f>IF(F74="si","kg/m",IF(AND(F74="no"),"-"))</f>
        <v>-</v>
      </c>
      <c r="H272" s="2"/>
      <c r="I272" s="2"/>
    </row>
    <row r="273" spans="1:9" x14ac:dyDescent="0.25">
      <c r="A273" s="2"/>
      <c r="B273" s="2"/>
      <c r="C273" s="68"/>
      <c r="D273" s="2"/>
      <c r="E273" s="2"/>
      <c r="F273" s="2"/>
      <c r="G273" s="2"/>
      <c r="H273" s="2"/>
      <c r="I273" s="2"/>
    </row>
    <row r="274" spans="1:9" x14ac:dyDescent="0.25">
      <c r="A274" s="2"/>
      <c r="B274" s="22" t="s">
        <v>431</v>
      </c>
      <c r="C274" s="6"/>
      <c r="D274" s="6"/>
      <c r="E274" s="6"/>
      <c r="F274" s="6"/>
      <c r="G274" s="6"/>
      <c r="H274" s="6"/>
      <c r="I274" s="2"/>
    </row>
    <row r="275" spans="1:9" x14ac:dyDescent="0.25">
      <c r="A275" s="2"/>
      <c r="B275" s="2"/>
      <c r="C275" s="2"/>
      <c r="D275" s="25"/>
      <c r="E275" s="24" t="s">
        <v>256</v>
      </c>
      <c r="F275" s="68">
        <v>9</v>
      </c>
      <c r="G275" s="2" t="s">
        <v>257</v>
      </c>
      <c r="H275" s="2"/>
      <c r="I275" s="2"/>
    </row>
    <row r="276" spans="1:9" x14ac:dyDescent="0.25">
      <c r="A276" s="2"/>
      <c r="B276" s="2"/>
      <c r="C276" s="591" t="s">
        <v>252</v>
      </c>
      <c r="D276" s="592"/>
      <c r="E276" s="231"/>
      <c r="F276" s="232">
        <f>IF(E201=C60,((G201/F268)/9),IF(AND(E201="-"),0))</f>
        <v>35.906642728904842</v>
      </c>
      <c r="G276" s="233" t="str">
        <f>IF(F70="si","varillas",IF(AND(F70="no"),"-"))</f>
        <v>varillas</v>
      </c>
      <c r="H276" s="57"/>
      <c r="I276" s="57"/>
    </row>
    <row r="277" spans="1:9" x14ac:dyDescent="0.25">
      <c r="A277" s="2"/>
      <c r="B277" s="2"/>
      <c r="C277" s="591" t="s">
        <v>253</v>
      </c>
      <c r="D277" s="592"/>
      <c r="E277" s="228"/>
      <c r="F277" s="232">
        <f>IF(E202=C61,((G202/F269)/9),IF(AND(E202="-"),0))</f>
        <v>35.770176615247038</v>
      </c>
      <c r="G277" s="50" t="str">
        <f>IF(F71="si","varillas",IF(AND(F71="no"),"-"))</f>
        <v>varillas</v>
      </c>
      <c r="H277" s="57"/>
      <c r="I277" s="57"/>
    </row>
    <row r="278" spans="1:9" x14ac:dyDescent="0.25">
      <c r="A278" s="2"/>
      <c r="B278" s="2"/>
      <c r="C278" s="591" t="s">
        <v>254</v>
      </c>
      <c r="D278" s="592"/>
      <c r="E278" s="228"/>
      <c r="F278" s="232">
        <f>IF(E203=C62,((G203/F270)/9),IF(AND(E203="-"),0))</f>
        <v>14.318442153493699</v>
      </c>
      <c r="G278" s="50" t="str">
        <f>IF(F72="si","varillas",IF(AND(F72="no"),"-"))</f>
        <v>varillas</v>
      </c>
      <c r="H278" s="57"/>
      <c r="I278" s="57"/>
    </row>
    <row r="279" spans="1:9" x14ac:dyDescent="0.25">
      <c r="A279" s="2"/>
      <c r="B279" s="2"/>
      <c r="C279" s="787" t="s">
        <v>255</v>
      </c>
      <c r="D279" s="788"/>
      <c r="E279" s="231"/>
      <c r="F279" s="232">
        <f>IF(E204=C63,((G204/F271)/9),IF(AND(E204="-"),0))</f>
        <v>0</v>
      </c>
      <c r="G279" s="233" t="str">
        <f>IF(F73="si","varillas",IF(AND(F73="no"),"-"))</f>
        <v>-</v>
      </c>
      <c r="H279" s="57"/>
      <c r="I279" s="57"/>
    </row>
    <row r="280" spans="1:9" x14ac:dyDescent="0.25">
      <c r="A280" s="2"/>
      <c r="B280" s="2"/>
      <c r="C280" s="591" t="s">
        <v>430</v>
      </c>
      <c r="D280" s="592"/>
      <c r="E280" s="228"/>
      <c r="F280" s="146">
        <f>IF(E205=C64,((G205/F272)/9),IF(AND(E205="-"),0))</f>
        <v>0</v>
      </c>
      <c r="G280" s="50" t="str">
        <f>IF(F74="si","varillas",IF(AND(F74="no"),"-"))</f>
        <v>-</v>
      </c>
      <c r="H280" s="57"/>
      <c r="I280" s="2"/>
    </row>
    <row r="281" spans="1:9" x14ac:dyDescent="0.25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5">
      <c r="A282" s="2"/>
      <c r="B282" s="22" t="s">
        <v>432</v>
      </c>
      <c r="C282" s="6"/>
      <c r="D282" s="6"/>
      <c r="E282" s="6"/>
      <c r="F282" s="6"/>
      <c r="G282" s="6"/>
      <c r="H282" s="6"/>
      <c r="I282" s="2"/>
    </row>
    <row r="283" spans="1:9" x14ac:dyDescent="0.25">
      <c r="A283" s="2"/>
      <c r="B283" s="2"/>
      <c r="C283" s="2"/>
      <c r="D283" s="25"/>
      <c r="E283" s="24" t="s">
        <v>256</v>
      </c>
      <c r="F283" s="68">
        <v>9</v>
      </c>
      <c r="G283" s="2" t="s">
        <v>257</v>
      </c>
      <c r="H283" s="2"/>
      <c r="I283" s="2"/>
    </row>
    <row r="284" spans="1:9" x14ac:dyDescent="0.25">
      <c r="A284" s="2"/>
      <c r="B284" s="2"/>
      <c r="C284" s="591" t="s">
        <v>428</v>
      </c>
      <c r="D284" s="592"/>
      <c r="E284" s="231"/>
      <c r="F284" s="232">
        <f>IF(E208=C58,((G208/F266)/9),IF(AND(E208="-"),0))</f>
        <v>0</v>
      </c>
      <c r="G284" s="233" t="str">
        <f>IF(F80="si","varillas",IF(AND(F80="no"),"-"))</f>
        <v>-</v>
      </c>
      <c r="H284" s="57"/>
      <c r="I284" s="57"/>
    </row>
    <row r="285" spans="1:9" x14ac:dyDescent="0.25">
      <c r="A285" s="2"/>
      <c r="B285" s="2"/>
      <c r="C285" s="591" t="s">
        <v>429</v>
      </c>
      <c r="D285" s="592"/>
      <c r="E285" s="228"/>
      <c r="F285" s="232">
        <f>IF(E209=C59,((G209/F267)/9),IF(AND(E209="-"),0))</f>
        <v>70.323488045007025</v>
      </c>
      <c r="G285" s="233" t="str">
        <f>IF(F81="si","varillas",IF(AND(F81="no"),"-"))</f>
        <v>varillas</v>
      </c>
      <c r="H285" s="57"/>
      <c r="I285" s="57"/>
    </row>
    <row r="286" spans="1:9" x14ac:dyDescent="0.25">
      <c r="A286" s="2"/>
      <c r="B286" s="2"/>
      <c r="C286" s="591" t="s">
        <v>252</v>
      </c>
      <c r="D286" s="592"/>
      <c r="E286" s="228"/>
      <c r="F286" s="146">
        <f>IF(E210=C60,((G210/F268)/9),IF(AND(E210="-"),0))</f>
        <v>29.922202274087372</v>
      </c>
      <c r="G286" s="50" t="str">
        <f>IF(F82="si","varillas",IF(AND(F82="no"),"-"))</f>
        <v>varillas</v>
      </c>
      <c r="H286" s="57"/>
      <c r="I286" s="57"/>
    </row>
    <row r="287" spans="1:9" x14ac:dyDescent="0.25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5">
      <c r="A288" s="2"/>
      <c r="B288" s="22" t="s">
        <v>433</v>
      </c>
      <c r="C288" s="6"/>
      <c r="D288" s="6"/>
      <c r="E288" s="6"/>
      <c r="F288" s="6"/>
      <c r="G288" s="6"/>
      <c r="H288" s="6"/>
      <c r="I288" s="2"/>
    </row>
    <row r="289" spans="1:9" x14ac:dyDescent="0.25">
      <c r="A289" s="2"/>
      <c r="B289" s="22"/>
      <c r="C289" s="6"/>
      <c r="D289" s="6"/>
      <c r="E289" s="6"/>
      <c r="F289" s="6"/>
      <c r="G289" s="6"/>
      <c r="H289" s="6"/>
      <c r="I289" s="2"/>
    </row>
    <row r="290" spans="1:9" x14ac:dyDescent="0.25">
      <c r="A290" s="2"/>
      <c r="B290" s="537" t="s">
        <v>434</v>
      </c>
      <c r="C290" s="537"/>
      <c r="D290" s="537"/>
      <c r="E290" s="537"/>
      <c r="F290" s="537"/>
      <c r="G290" s="537"/>
      <c r="H290" s="537"/>
      <c r="I290" s="2"/>
    </row>
    <row r="291" spans="1:9" x14ac:dyDescent="0.25">
      <c r="A291" s="2"/>
      <c r="B291" s="215"/>
      <c r="C291" s="215"/>
      <c r="D291" s="543" t="s">
        <v>435</v>
      </c>
      <c r="E291" s="543"/>
      <c r="F291" s="225">
        <v>0.03</v>
      </c>
      <c r="G291" s="215"/>
      <c r="H291" s="215"/>
      <c r="I291" s="2"/>
    </row>
    <row r="292" spans="1:9" x14ac:dyDescent="0.25">
      <c r="A292" s="2"/>
      <c r="B292" s="215"/>
      <c r="C292" s="215"/>
      <c r="D292" s="543" t="s">
        <v>436</v>
      </c>
      <c r="E292" s="543"/>
      <c r="F292" s="225">
        <v>0.03</v>
      </c>
      <c r="G292" s="215"/>
      <c r="H292" s="215"/>
      <c r="I292" s="2"/>
    </row>
    <row r="293" spans="1:9" x14ac:dyDescent="0.25">
      <c r="A293" s="2"/>
      <c r="B293" s="2"/>
      <c r="C293" s="2"/>
      <c r="D293" s="25" t="s">
        <v>258</v>
      </c>
      <c r="E293" s="215"/>
      <c r="F293" s="225">
        <v>0.03</v>
      </c>
      <c r="G293" s="2"/>
      <c r="H293" s="2"/>
      <c r="I293" s="2"/>
    </row>
    <row r="294" spans="1:9" x14ac:dyDescent="0.25">
      <c r="A294" s="2"/>
      <c r="B294" s="2"/>
      <c r="C294" s="2"/>
      <c r="D294" s="25" t="s">
        <v>259</v>
      </c>
      <c r="E294" s="215"/>
      <c r="F294" s="225">
        <v>0.05</v>
      </c>
      <c r="G294" s="2"/>
      <c r="H294" s="2"/>
      <c r="I294" s="2"/>
    </row>
    <row r="295" spans="1:9" x14ac:dyDescent="0.25">
      <c r="A295" s="2"/>
      <c r="B295" s="2"/>
      <c r="C295" s="2"/>
      <c r="D295" s="25" t="s">
        <v>260</v>
      </c>
      <c r="E295" s="215"/>
      <c r="F295" s="225">
        <v>7.0000000000000007E-2</v>
      </c>
      <c r="G295" s="2"/>
      <c r="H295" s="2"/>
      <c r="I295" s="2"/>
    </row>
    <row r="296" spans="1:9" x14ac:dyDescent="0.25">
      <c r="A296" s="2"/>
      <c r="B296" s="2"/>
      <c r="C296" s="2"/>
      <c r="D296" s="25" t="s">
        <v>261</v>
      </c>
      <c r="E296" s="215"/>
      <c r="F296" s="225">
        <v>0.08</v>
      </c>
      <c r="G296" s="2"/>
      <c r="H296" s="2"/>
      <c r="I296" s="2"/>
    </row>
    <row r="297" spans="1:9" x14ac:dyDescent="0.25">
      <c r="A297" s="2"/>
      <c r="B297" s="2"/>
      <c r="C297" s="2"/>
      <c r="D297" s="25" t="s">
        <v>437</v>
      </c>
      <c r="E297" s="215"/>
      <c r="F297" s="225">
        <v>0.1</v>
      </c>
      <c r="G297" s="2"/>
      <c r="H297" s="2"/>
      <c r="I297" s="2"/>
    </row>
    <row r="298" spans="1:9" x14ac:dyDescent="0.25">
      <c r="A298" s="2"/>
      <c r="B298" s="2"/>
      <c r="C298" s="597" t="s">
        <v>428</v>
      </c>
      <c r="D298" s="598"/>
      <c r="E298" s="223"/>
      <c r="F298" s="217">
        <f>F284+F284*F291</f>
        <v>0</v>
      </c>
      <c r="G298" s="218" t="str">
        <f>G284</f>
        <v>-</v>
      </c>
      <c r="H298" s="2"/>
      <c r="I298" s="57"/>
    </row>
    <row r="299" spans="1:9" x14ac:dyDescent="0.25">
      <c r="A299" s="2"/>
      <c r="B299" s="2"/>
      <c r="C299" s="597" t="s">
        <v>429</v>
      </c>
      <c r="D299" s="598"/>
      <c r="E299" s="223"/>
      <c r="F299" s="217">
        <f>F285+F285*F292</f>
        <v>72.433192686357231</v>
      </c>
      <c r="G299" s="218" t="str">
        <f t="shared" ref="G299" si="3">G285</f>
        <v>varillas</v>
      </c>
      <c r="H299" s="2"/>
      <c r="I299" s="57"/>
    </row>
    <row r="300" spans="1:9" x14ac:dyDescent="0.25">
      <c r="A300" s="2"/>
      <c r="B300" s="2"/>
      <c r="C300" s="597" t="s">
        <v>252</v>
      </c>
      <c r="D300" s="598"/>
      <c r="E300" s="223"/>
      <c r="F300" s="217">
        <f>(F276+F286)+(F276+F286)*F293</f>
        <v>67.803710353081982</v>
      </c>
      <c r="G300" s="218" t="str">
        <f>IF(F70="si","varillas",IF(AND(F82="si"),"varillas",IF(AND(F70="no"),"-",IF(AND(F82="no"),"-"))))</f>
        <v>varillas</v>
      </c>
      <c r="H300" s="2"/>
      <c r="I300" s="57"/>
    </row>
    <row r="301" spans="1:9" x14ac:dyDescent="0.25">
      <c r="A301" s="2"/>
      <c r="B301" s="2"/>
      <c r="C301" s="597" t="s">
        <v>253</v>
      </c>
      <c r="D301" s="598"/>
      <c r="E301" s="223"/>
      <c r="F301" s="217">
        <f>F277+F277*F294</f>
        <v>37.558685446009392</v>
      </c>
      <c r="G301" s="218" t="str">
        <f>G277</f>
        <v>varillas</v>
      </c>
      <c r="H301" s="2"/>
      <c r="I301" s="57"/>
    </row>
    <row r="302" spans="1:9" x14ac:dyDescent="0.25">
      <c r="A302" s="2"/>
      <c r="B302" s="2"/>
      <c r="C302" s="597" t="s">
        <v>254</v>
      </c>
      <c r="D302" s="598"/>
      <c r="E302" s="223"/>
      <c r="F302" s="217">
        <f>F278+F278*F295</f>
        <v>15.320733104238258</v>
      </c>
      <c r="G302" s="218" t="str">
        <f t="shared" ref="G302:G304" si="4">G278</f>
        <v>varillas</v>
      </c>
      <c r="H302" s="2"/>
      <c r="I302" s="57"/>
    </row>
    <row r="303" spans="1:9" x14ac:dyDescent="0.25">
      <c r="A303" s="2"/>
      <c r="B303" s="2"/>
      <c r="C303" s="597" t="s">
        <v>255</v>
      </c>
      <c r="D303" s="598"/>
      <c r="E303" s="223"/>
      <c r="F303" s="217">
        <f>F279+F279*F296</f>
        <v>0</v>
      </c>
      <c r="G303" s="218" t="str">
        <f t="shared" si="4"/>
        <v>-</v>
      </c>
      <c r="H303" s="2"/>
      <c r="I303" s="57"/>
    </row>
    <row r="304" spans="1:9" x14ac:dyDescent="0.25">
      <c r="A304" s="2"/>
      <c r="B304" s="2"/>
      <c r="C304" s="597" t="s">
        <v>430</v>
      </c>
      <c r="D304" s="598"/>
      <c r="E304" s="223"/>
      <c r="F304" s="217">
        <f>F280+F280*F297</f>
        <v>0</v>
      </c>
      <c r="G304" s="218" t="str">
        <f t="shared" si="4"/>
        <v>-</v>
      </c>
      <c r="H304" s="2"/>
      <c r="I304" s="57"/>
    </row>
    <row r="305" spans="1:10" x14ac:dyDescent="0.25">
      <c r="A305" s="2"/>
      <c r="B305" s="2"/>
      <c r="C305" s="597" t="s">
        <v>262</v>
      </c>
      <c r="D305" s="598"/>
      <c r="E305" s="223"/>
      <c r="F305" s="217">
        <f>(F85*(F283*F284*F266+F283*F285*F267+F283*(F286+F276)*F268+F275*F277*F269+F275*F278*F270+F275*F279*F271+F275*F280*F272))*1.05</f>
        <v>57.75</v>
      </c>
      <c r="G305" s="218" t="s">
        <v>169</v>
      </c>
      <c r="H305" s="2"/>
      <c r="I305" s="57"/>
      <c r="J305" s="54"/>
    </row>
    <row r="306" spans="1:10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54"/>
    </row>
    <row r="307" spans="1:10" x14ac:dyDescent="0.25">
      <c r="A307" s="2"/>
      <c r="B307" s="2"/>
      <c r="C307" s="2"/>
      <c r="D307" s="2"/>
      <c r="E307" s="2"/>
      <c r="F307" s="2"/>
      <c r="G307" s="2"/>
      <c r="H307" s="2"/>
      <c r="I307" s="2"/>
    </row>
    <row r="308" spans="1:10" x14ac:dyDescent="0.25">
      <c r="A308" s="2"/>
      <c r="B308" s="2"/>
      <c r="C308" s="2"/>
      <c r="D308" s="2"/>
      <c r="E308" s="2"/>
      <c r="F308" s="2"/>
      <c r="G308" s="2"/>
      <c r="H308" s="2"/>
      <c r="I308" s="2"/>
    </row>
    <row r="309" spans="1:10" ht="15.75" x14ac:dyDescent="0.25">
      <c r="A309" s="797" t="s">
        <v>263</v>
      </c>
      <c r="B309" s="797"/>
      <c r="C309" s="797"/>
      <c r="D309" s="797"/>
      <c r="E309" s="2"/>
      <c r="F309" s="2"/>
      <c r="G309" s="2"/>
      <c r="H309" s="2"/>
      <c r="I309" s="2"/>
    </row>
    <row r="310" spans="1:10" x14ac:dyDescent="0.25">
      <c r="A310" s="2"/>
      <c r="B310" s="2"/>
      <c r="C310" s="2"/>
      <c r="D310" s="2"/>
      <c r="E310" s="2"/>
      <c r="F310" s="2"/>
      <c r="G310" s="2"/>
      <c r="H310" s="2"/>
      <c r="I310" s="2"/>
    </row>
    <row r="311" spans="1:10" x14ac:dyDescent="0.25">
      <c r="A311" s="2"/>
      <c r="B311" s="2"/>
      <c r="C311" s="2"/>
      <c r="D311" s="2"/>
      <c r="E311" s="2"/>
      <c r="F311" s="2"/>
      <c r="G311" s="2"/>
      <c r="H311" s="2"/>
      <c r="I311" s="2"/>
    </row>
    <row r="312" spans="1:10" x14ac:dyDescent="0.25">
      <c r="A312" s="2"/>
      <c r="B312" s="2"/>
      <c r="C312" s="2"/>
      <c r="D312" s="2"/>
      <c r="E312" s="2"/>
      <c r="F312" s="2"/>
      <c r="G312" s="2"/>
      <c r="H312" s="2"/>
      <c r="I312" s="2"/>
    </row>
    <row r="313" spans="1:10" x14ac:dyDescent="0.25">
      <c r="A313" s="2"/>
      <c r="B313" s="2"/>
      <c r="C313" s="2"/>
      <c r="D313" s="596" t="s">
        <v>44</v>
      </c>
      <c r="E313" s="596"/>
      <c r="F313" s="161">
        <f>C97</f>
        <v>8</v>
      </c>
      <c r="G313" s="25" t="s">
        <v>7</v>
      </c>
      <c r="H313" s="2"/>
      <c r="I313" s="2"/>
    </row>
    <row r="314" spans="1:10" x14ac:dyDescent="0.25">
      <c r="A314" s="2"/>
      <c r="B314" s="2"/>
      <c r="C314" s="2"/>
      <c r="D314" s="68"/>
      <c r="E314" s="68"/>
      <c r="F314" s="68"/>
      <c r="G314" s="2"/>
      <c r="H314" s="2"/>
      <c r="I314" s="2"/>
    </row>
    <row r="315" spans="1:10" ht="15.75" x14ac:dyDescent="0.25">
      <c r="A315" s="2"/>
      <c r="B315" s="22" t="s">
        <v>683</v>
      </c>
      <c r="C315" s="2"/>
      <c r="D315" s="2"/>
      <c r="E315" s="2"/>
      <c r="F315" s="2"/>
      <c r="G315" s="2"/>
      <c r="H315" s="2"/>
      <c r="I315" s="2"/>
    </row>
    <row r="316" spans="1:10" ht="15.75" x14ac:dyDescent="0.25">
      <c r="A316" s="2"/>
      <c r="B316" s="2"/>
      <c r="C316" s="499" t="s">
        <v>45</v>
      </c>
      <c r="D316" s="499"/>
      <c r="E316" s="68">
        <f>B101</f>
        <v>12</v>
      </c>
      <c r="F316" s="2" t="s">
        <v>166</v>
      </c>
      <c r="G316" s="2"/>
      <c r="H316" s="2"/>
      <c r="I316" s="2"/>
    </row>
    <row r="317" spans="1:10" x14ac:dyDescent="0.25">
      <c r="A317" s="2"/>
      <c r="B317" s="2"/>
      <c r="C317" s="500" t="s">
        <v>46</v>
      </c>
      <c r="D317" s="501"/>
      <c r="E317" s="504" t="s">
        <v>47</v>
      </c>
      <c r="F317" s="505" t="s">
        <v>48</v>
      </c>
      <c r="G317" s="507" t="s">
        <v>49</v>
      </c>
      <c r="H317" s="2"/>
      <c r="I317" s="2"/>
    </row>
    <row r="318" spans="1:10" x14ac:dyDescent="0.25">
      <c r="A318" s="2"/>
      <c r="B318" s="2"/>
      <c r="C318" s="502"/>
      <c r="D318" s="503"/>
      <c r="E318" s="504"/>
      <c r="F318" s="506"/>
      <c r="G318" s="507"/>
      <c r="H318" s="2"/>
      <c r="I318" s="2"/>
    </row>
    <row r="319" spans="1:10" x14ac:dyDescent="0.25">
      <c r="A319" s="2"/>
      <c r="B319" s="2"/>
      <c r="C319" s="608" t="s">
        <v>684</v>
      </c>
      <c r="D319" s="609"/>
      <c r="E319" s="69" t="s">
        <v>11</v>
      </c>
      <c r="F319" s="70">
        <f>D101</f>
        <v>0.2</v>
      </c>
      <c r="G319" s="71">
        <f>(F319*F313)/E316</f>
        <v>0.13333333333333333</v>
      </c>
      <c r="H319" s="2"/>
      <c r="I319" s="2"/>
    </row>
    <row r="320" spans="1:10" x14ac:dyDescent="0.25">
      <c r="A320" s="2"/>
      <c r="B320" s="2"/>
      <c r="C320" s="610"/>
      <c r="D320" s="611"/>
      <c r="E320" s="69" t="s">
        <v>12</v>
      </c>
      <c r="F320" s="70">
        <f>E101</f>
        <v>2</v>
      </c>
      <c r="G320" s="71">
        <f>(F320*F313)/E316</f>
        <v>1.3333333333333333</v>
      </c>
      <c r="H320" s="2"/>
      <c r="I320" s="2"/>
    </row>
    <row r="321" spans="1:9" x14ac:dyDescent="0.25">
      <c r="A321" s="2"/>
      <c r="B321" s="2"/>
      <c r="C321" s="234" t="s">
        <v>308</v>
      </c>
      <c r="D321" s="235">
        <f>E31</f>
        <v>210</v>
      </c>
      <c r="E321" s="69" t="s">
        <v>13</v>
      </c>
      <c r="F321" s="70">
        <f>F101</f>
        <v>2</v>
      </c>
      <c r="G321" s="71">
        <f>(F321*F313)/E316</f>
        <v>1.3333333333333333</v>
      </c>
      <c r="H321" s="2"/>
      <c r="I321" s="2"/>
    </row>
    <row r="322" spans="1:9" ht="15.75" customHeight="1" x14ac:dyDescent="0.25">
      <c r="A322" s="2"/>
      <c r="B322" s="2"/>
      <c r="C322" s="606" t="s">
        <v>309</v>
      </c>
      <c r="D322" s="607"/>
      <c r="E322" s="69" t="s">
        <v>14</v>
      </c>
      <c r="F322" s="70">
        <f>G101</f>
        <v>8</v>
      </c>
      <c r="G322" s="71">
        <f>(F322*F313)/E316</f>
        <v>5.333333333333333</v>
      </c>
      <c r="H322" s="2"/>
      <c r="I322" s="2"/>
    </row>
    <row r="323" spans="1:9" x14ac:dyDescent="0.25">
      <c r="A323" s="2"/>
      <c r="B323" s="2"/>
      <c r="C323" s="612"/>
      <c r="D323" s="613"/>
      <c r="E323" s="69" t="s">
        <v>50</v>
      </c>
      <c r="F323" s="70">
        <f>H101</f>
        <v>1</v>
      </c>
      <c r="G323" s="71">
        <f>(F323*F313/E316)</f>
        <v>0.66666666666666663</v>
      </c>
      <c r="H323" s="2"/>
      <c r="I323" s="2"/>
    </row>
    <row r="324" spans="1:9" x14ac:dyDescent="0.25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5">
      <c r="A325" s="2"/>
      <c r="B325" s="2"/>
      <c r="C325" s="2"/>
      <c r="D325" s="2"/>
      <c r="E325" s="2"/>
      <c r="F325" s="2"/>
      <c r="G325" s="2"/>
      <c r="H325" s="2"/>
      <c r="I325" s="2"/>
    </row>
    <row r="326" spans="1:9" ht="15.75" x14ac:dyDescent="0.25">
      <c r="A326" s="2"/>
      <c r="B326" s="22" t="s">
        <v>685</v>
      </c>
      <c r="C326" s="2"/>
      <c r="D326" s="2"/>
      <c r="E326" s="2"/>
      <c r="F326" s="2"/>
      <c r="G326" s="2"/>
      <c r="H326" s="2"/>
      <c r="I326" s="2"/>
    </row>
    <row r="327" spans="1:9" ht="15.75" x14ac:dyDescent="0.25">
      <c r="A327" s="2"/>
      <c r="B327" s="2"/>
      <c r="C327" s="499" t="s">
        <v>45</v>
      </c>
      <c r="D327" s="499"/>
      <c r="E327" s="68">
        <f>B103</f>
        <v>14</v>
      </c>
      <c r="F327" s="2" t="s">
        <v>310</v>
      </c>
      <c r="G327" s="2"/>
      <c r="H327" s="2"/>
      <c r="I327" s="2"/>
    </row>
    <row r="328" spans="1:9" x14ac:dyDescent="0.25">
      <c r="A328" s="2"/>
      <c r="B328" s="2"/>
      <c r="C328" s="500" t="s">
        <v>46</v>
      </c>
      <c r="D328" s="501"/>
      <c r="E328" s="504" t="s">
        <v>47</v>
      </c>
      <c r="F328" s="505" t="s">
        <v>48</v>
      </c>
      <c r="G328" s="507" t="s">
        <v>49</v>
      </c>
      <c r="H328" s="2"/>
      <c r="I328" s="2"/>
    </row>
    <row r="329" spans="1:9" x14ac:dyDescent="0.25">
      <c r="A329" s="2"/>
      <c r="B329" s="2"/>
      <c r="C329" s="502"/>
      <c r="D329" s="503"/>
      <c r="E329" s="504"/>
      <c r="F329" s="506"/>
      <c r="G329" s="507"/>
      <c r="H329" s="2"/>
      <c r="I329" s="2"/>
    </row>
    <row r="330" spans="1:9" x14ac:dyDescent="0.25">
      <c r="A330" s="2"/>
      <c r="B330" s="2"/>
      <c r="C330" s="508" t="s">
        <v>686</v>
      </c>
      <c r="D330" s="509"/>
      <c r="E330" s="69" t="s">
        <v>11</v>
      </c>
      <c r="F330" s="70">
        <f>D103</f>
        <v>0.1</v>
      </c>
      <c r="G330" s="71">
        <f>(F330*F313)/E327</f>
        <v>5.7142857142857148E-2</v>
      </c>
      <c r="H330" s="2"/>
      <c r="I330" s="2"/>
    </row>
    <row r="331" spans="1:9" x14ac:dyDescent="0.25">
      <c r="A331" s="2"/>
      <c r="B331" s="2"/>
      <c r="C331" s="606"/>
      <c r="D331" s="607"/>
      <c r="E331" s="69" t="s">
        <v>12</v>
      </c>
      <c r="F331" s="70">
        <f>E103</f>
        <v>1</v>
      </c>
      <c r="G331" s="71">
        <f>(F331*F313)/E327</f>
        <v>0.5714285714285714</v>
      </c>
      <c r="H331" s="2"/>
      <c r="I331" s="2"/>
    </row>
    <row r="332" spans="1:9" x14ac:dyDescent="0.25">
      <c r="A332" s="2"/>
      <c r="B332" s="2"/>
      <c r="C332" s="606"/>
      <c r="D332" s="607"/>
      <c r="E332" s="69" t="s">
        <v>13</v>
      </c>
      <c r="F332" s="70">
        <f>F103</f>
        <v>1</v>
      </c>
      <c r="G332" s="71">
        <f>(F332*F313)/E327</f>
        <v>0.5714285714285714</v>
      </c>
      <c r="H332" s="2"/>
      <c r="I332" s="2"/>
    </row>
    <row r="333" spans="1:9" ht="15.75" customHeight="1" x14ac:dyDescent="0.25">
      <c r="A333" s="2"/>
      <c r="B333" s="2"/>
      <c r="C333" s="510"/>
      <c r="D333" s="511"/>
      <c r="E333" s="69" t="s">
        <v>14</v>
      </c>
      <c r="F333" s="70">
        <f>G103</f>
        <v>0.5</v>
      </c>
      <c r="G333" s="71">
        <f>(F333*F313)/E327</f>
        <v>0.2857142857142857</v>
      </c>
      <c r="H333" s="2"/>
      <c r="I333" s="2"/>
    </row>
    <row r="334" spans="1:9" x14ac:dyDescent="0.25">
      <c r="A334" s="2"/>
      <c r="B334" s="2"/>
      <c r="C334" s="2"/>
      <c r="D334" s="2"/>
      <c r="E334" s="2"/>
      <c r="F334" s="2"/>
      <c r="G334" s="2"/>
      <c r="H334" s="2"/>
      <c r="I334" s="2"/>
    </row>
    <row r="335" spans="1:9" x14ac:dyDescent="0.25">
      <c r="A335" s="2"/>
      <c r="B335" s="2"/>
      <c r="C335" s="2"/>
      <c r="D335" s="2"/>
      <c r="E335" s="2"/>
      <c r="F335" s="2"/>
      <c r="G335" s="2"/>
      <c r="H335" s="2"/>
      <c r="I335" s="2"/>
    </row>
    <row r="336" spans="1:9" x14ac:dyDescent="0.25">
      <c r="A336" s="2"/>
      <c r="B336" s="22" t="s">
        <v>311</v>
      </c>
      <c r="C336" s="2"/>
      <c r="D336" s="2"/>
      <c r="E336" s="2"/>
      <c r="F336" s="2"/>
      <c r="G336" s="2"/>
      <c r="H336" s="2"/>
      <c r="I336" s="2"/>
    </row>
    <row r="337" spans="1:9" ht="15.75" x14ac:dyDescent="0.25">
      <c r="A337" s="2"/>
      <c r="B337" s="2"/>
      <c r="C337" s="499" t="s">
        <v>45</v>
      </c>
      <c r="D337" s="499"/>
      <c r="E337" s="68">
        <f>B105</f>
        <v>250</v>
      </c>
      <c r="F337" s="236" t="s">
        <v>228</v>
      </c>
      <c r="G337" s="2"/>
      <c r="H337" s="2"/>
      <c r="I337" s="2"/>
    </row>
    <row r="338" spans="1:9" x14ac:dyDescent="0.25">
      <c r="A338" s="2"/>
      <c r="B338" s="2"/>
      <c r="C338" s="500" t="s">
        <v>46</v>
      </c>
      <c r="D338" s="501"/>
      <c r="E338" s="504" t="s">
        <v>47</v>
      </c>
      <c r="F338" s="505" t="s">
        <v>48</v>
      </c>
      <c r="G338" s="507" t="s">
        <v>49</v>
      </c>
      <c r="H338" s="2"/>
      <c r="I338" s="2"/>
    </row>
    <row r="339" spans="1:9" x14ac:dyDescent="0.25">
      <c r="A339" s="2"/>
      <c r="B339" s="2"/>
      <c r="C339" s="502"/>
      <c r="D339" s="503"/>
      <c r="E339" s="504"/>
      <c r="F339" s="506"/>
      <c r="G339" s="507"/>
      <c r="H339" s="2"/>
      <c r="I339" s="2"/>
    </row>
    <row r="340" spans="1:9" x14ac:dyDescent="0.25">
      <c r="A340" s="2"/>
      <c r="B340" s="2"/>
      <c r="C340" s="508" t="s">
        <v>312</v>
      </c>
      <c r="D340" s="509"/>
      <c r="E340" s="69" t="s">
        <v>11</v>
      </c>
      <c r="F340" s="70">
        <f>D105</f>
        <v>0.1</v>
      </c>
      <c r="G340" s="71">
        <f>(F340*F313)/E337</f>
        <v>3.2000000000000002E-3</v>
      </c>
      <c r="H340" s="2"/>
      <c r="I340" s="2"/>
    </row>
    <row r="341" spans="1:9" x14ac:dyDescent="0.25">
      <c r="A341" s="2"/>
      <c r="B341" s="2"/>
      <c r="C341" s="606"/>
      <c r="D341" s="607"/>
      <c r="E341" s="69" t="s">
        <v>12</v>
      </c>
      <c r="F341" s="70">
        <f>E105</f>
        <v>1</v>
      </c>
      <c r="G341" s="71">
        <f>(F341*F313)/E337</f>
        <v>3.2000000000000001E-2</v>
      </c>
      <c r="H341" s="2"/>
      <c r="I341" s="2"/>
    </row>
    <row r="342" spans="1:9" x14ac:dyDescent="0.25">
      <c r="A342" s="2"/>
      <c r="B342" s="2"/>
      <c r="C342" s="606"/>
      <c r="D342" s="607"/>
      <c r="E342" s="69" t="s">
        <v>13</v>
      </c>
      <c r="F342" s="70">
        <f>F105</f>
        <v>1</v>
      </c>
      <c r="G342" s="71">
        <f>(F342*F313)/E337</f>
        <v>3.2000000000000001E-2</v>
      </c>
      <c r="H342" s="2"/>
      <c r="I342" s="2"/>
    </row>
    <row r="343" spans="1:9" ht="15.75" customHeight="1" x14ac:dyDescent="0.25">
      <c r="A343" s="2"/>
      <c r="B343" s="2"/>
      <c r="C343" s="510"/>
      <c r="D343" s="511"/>
      <c r="E343" s="69" t="s">
        <v>14</v>
      </c>
      <c r="F343" s="70">
        <f>G105</f>
        <v>1</v>
      </c>
      <c r="G343" s="71">
        <f>(F343*F313)/E337</f>
        <v>3.2000000000000001E-2</v>
      </c>
      <c r="H343" s="2"/>
      <c r="I343" s="2"/>
    </row>
    <row r="344" spans="1:9" x14ac:dyDescent="0.25">
      <c r="A344" s="2"/>
      <c r="B344" s="2"/>
      <c r="C344" s="2"/>
      <c r="D344" s="2"/>
      <c r="E344" s="2"/>
      <c r="F344" s="2"/>
      <c r="G344" s="2"/>
      <c r="H344" s="2"/>
      <c r="I344" s="2"/>
    </row>
    <row r="345" spans="1:9" x14ac:dyDescent="0.25">
      <c r="A345" s="2"/>
      <c r="B345" s="2"/>
      <c r="C345" s="2"/>
      <c r="D345" s="2"/>
      <c r="E345" s="2"/>
      <c r="F345" s="2"/>
      <c r="G345" s="2"/>
      <c r="H345" s="2"/>
      <c r="I345" s="2"/>
    </row>
    <row r="346" spans="1:9" x14ac:dyDescent="0.25">
      <c r="A346" s="2"/>
      <c r="B346" s="2"/>
      <c r="C346" s="2"/>
      <c r="D346" s="2"/>
      <c r="E346" s="2"/>
      <c r="F346" s="2"/>
      <c r="G346" s="2"/>
      <c r="H346" s="2"/>
      <c r="I346" s="2"/>
    </row>
    <row r="347" spans="1:9" ht="15.75" x14ac:dyDescent="0.25">
      <c r="A347" s="396" t="s">
        <v>51</v>
      </c>
      <c r="B347" s="393"/>
      <c r="C347" s="393"/>
      <c r="D347" s="394"/>
      <c r="E347" s="2"/>
      <c r="F347" s="2"/>
      <c r="G347" s="2"/>
      <c r="H347" s="2"/>
      <c r="I347" s="2"/>
    </row>
    <row r="348" spans="1:9" x14ac:dyDescent="0.25">
      <c r="A348" s="2"/>
      <c r="B348" s="2"/>
      <c r="C348" s="2"/>
      <c r="D348" s="2"/>
      <c r="E348" s="2"/>
      <c r="F348" s="2"/>
      <c r="G348" s="2"/>
      <c r="H348" s="2"/>
      <c r="I348" s="2"/>
    </row>
    <row r="349" spans="1:9" ht="15.75" x14ac:dyDescent="0.25">
      <c r="A349" s="2"/>
      <c r="B349" s="22" t="s">
        <v>687</v>
      </c>
      <c r="C349" s="2"/>
      <c r="D349" s="2"/>
      <c r="E349" s="2"/>
      <c r="F349" s="2"/>
      <c r="G349" s="2"/>
      <c r="H349" s="2"/>
      <c r="I349" s="2"/>
    </row>
    <row r="350" spans="1:9" ht="15.75" x14ac:dyDescent="0.25">
      <c r="A350" s="2"/>
      <c r="B350" s="2"/>
      <c r="C350" s="499" t="s">
        <v>45</v>
      </c>
      <c r="D350" s="499"/>
      <c r="E350" s="68">
        <f>B101</f>
        <v>12</v>
      </c>
      <c r="F350" s="2" t="s">
        <v>166</v>
      </c>
      <c r="G350" s="2"/>
      <c r="H350" s="2"/>
      <c r="I350" s="2"/>
    </row>
    <row r="351" spans="1:9" x14ac:dyDescent="0.25">
      <c r="A351" s="2"/>
      <c r="B351" s="2"/>
      <c r="C351" s="500" t="s">
        <v>46</v>
      </c>
      <c r="D351" s="501"/>
      <c r="E351" s="504" t="s">
        <v>52</v>
      </c>
      <c r="F351" s="505" t="s">
        <v>48</v>
      </c>
      <c r="G351" s="507" t="s">
        <v>53</v>
      </c>
      <c r="H351" s="2"/>
      <c r="I351" s="2"/>
    </row>
    <row r="352" spans="1:9" x14ac:dyDescent="0.25">
      <c r="A352" s="2"/>
      <c r="B352" s="2"/>
      <c r="C352" s="502"/>
      <c r="D352" s="503"/>
      <c r="E352" s="504"/>
      <c r="F352" s="506"/>
      <c r="G352" s="507"/>
      <c r="H352" s="2"/>
      <c r="I352" s="2"/>
    </row>
    <row r="353" spans="1:12" ht="18.75" customHeight="1" x14ac:dyDescent="0.25">
      <c r="A353" s="2"/>
      <c r="B353" s="2"/>
      <c r="C353" s="608" t="s">
        <v>684</v>
      </c>
      <c r="D353" s="609"/>
      <c r="E353" s="637" t="s">
        <v>264</v>
      </c>
      <c r="F353" s="514">
        <f>F113</f>
        <v>1</v>
      </c>
      <c r="G353" s="516">
        <f>(F353*F313)/E350</f>
        <v>0.66666666666666663</v>
      </c>
      <c r="H353" s="2"/>
      <c r="I353" s="2"/>
    </row>
    <row r="354" spans="1:12" ht="18.75" customHeight="1" x14ac:dyDescent="0.25">
      <c r="A354" s="2"/>
      <c r="B354" s="2"/>
      <c r="C354" s="610"/>
      <c r="D354" s="611"/>
      <c r="E354" s="638"/>
      <c r="F354" s="515"/>
      <c r="G354" s="517"/>
      <c r="H354" s="2"/>
      <c r="I354" s="2"/>
    </row>
    <row r="355" spans="1:12" ht="21" customHeight="1" x14ac:dyDescent="0.25">
      <c r="A355" s="2"/>
      <c r="B355" s="2"/>
      <c r="C355" s="237" t="s">
        <v>308</v>
      </c>
      <c r="D355" s="235">
        <f>E31</f>
        <v>210</v>
      </c>
      <c r="E355" s="637" t="s">
        <v>54</v>
      </c>
      <c r="F355" s="514">
        <f>F114</f>
        <v>1</v>
      </c>
      <c r="G355" s="516">
        <f>(F355*F313)/E350</f>
        <v>0.66666666666666663</v>
      </c>
      <c r="H355" s="2"/>
      <c r="I355" s="2"/>
    </row>
    <row r="356" spans="1:12" ht="19.5" customHeight="1" x14ac:dyDescent="0.25">
      <c r="A356" s="2"/>
      <c r="B356" s="2"/>
      <c r="C356" s="639" t="s">
        <v>309</v>
      </c>
      <c r="D356" s="640"/>
      <c r="E356" s="638"/>
      <c r="F356" s="515"/>
      <c r="G356" s="517"/>
      <c r="H356" s="2"/>
      <c r="I356" s="2"/>
    </row>
    <row r="357" spans="1:12" x14ac:dyDescent="0.25">
      <c r="A357" s="2"/>
      <c r="B357" s="2"/>
      <c r="C357" s="2"/>
      <c r="D357" s="2"/>
      <c r="E357" s="2"/>
      <c r="F357" s="2"/>
      <c r="G357" s="2"/>
      <c r="H357" s="2"/>
      <c r="I357" s="2"/>
    </row>
    <row r="358" spans="1:12" x14ac:dyDescent="0.25">
      <c r="A358" s="2"/>
      <c r="B358" s="2"/>
      <c r="C358" s="2"/>
      <c r="D358" s="2"/>
      <c r="E358" s="2"/>
      <c r="F358" s="2"/>
      <c r="G358" s="2"/>
      <c r="H358" s="2"/>
      <c r="I358" s="2"/>
    </row>
    <row r="359" spans="1:12" x14ac:dyDescent="0.25">
      <c r="A359" s="2"/>
      <c r="B359" s="2"/>
      <c r="C359" s="2"/>
      <c r="D359" s="2"/>
      <c r="E359" s="2"/>
      <c r="F359" s="2"/>
      <c r="G359" s="2"/>
      <c r="H359" s="2"/>
      <c r="I359" s="2"/>
    </row>
    <row r="360" spans="1:12" ht="15.75" x14ac:dyDescent="0.25">
      <c r="A360" s="396" t="s">
        <v>265</v>
      </c>
      <c r="B360" s="394"/>
      <c r="C360" s="394"/>
      <c r="D360" s="394"/>
      <c r="E360" s="2"/>
      <c r="F360" s="2"/>
      <c r="G360" s="2"/>
      <c r="H360" s="2"/>
      <c r="I360" s="2"/>
    </row>
    <row r="361" spans="1:12" x14ac:dyDescent="0.25">
      <c r="A361" s="22"/>
      <c r="B361" s="2"/>
      <c r="C361" s="2"/>
      <c r="D361" s="2"/>
      <c r="E361" s="2"/>
      <c r="F361" s="2"/>
      <c r="G361" s="2"/>
      <c r="H361" s="2"/>
      <c r="I361" s="2"/>
    </row>
    <row r="362" spans="1:12" ht="15.75" x14ac:dyDescent="0.25">
      <c r="A362" s="153"/>
      <c r="B362" s="153"/>
      <c r="C362" s="153"/>
      <c r="D362" s="153"/>
      <c r="E362" s="2"/>
      <c r="F362" s="2"/>
      <c r="G362" s="2"/>
      <c r="H362" s="2"/>
      <c r="I362" s="2"/>
    </row>
    <row r="363" spans="1:12" ht="15.75" customHeight="1" x14ac:dyDescent="0.25">
      <c r="A363" s="2"/>
      <c r="B363" s="2"/>
      <c r="C363" s="455" t="s">
        <v>171</v>
      </c>
      <c r="D363" s="455"/>
      <c r="E363" s="456" t="str">
        <f>IF(D185="SI","MAYOR A 50 UIT",IF(AND(D185="NO"),"MENOR A 50 UIT"))</f>
        <v>MAYOR A 50 UIT</v>
      </c>
      <c r="F363" s="456"/>
      <c r="G363" s="31"/>
      <c r="H363" s="31"/>
      <c r="I363" s="31"/>
      <c r="J363" s="154"/>
    </row>
    <row r="364" spans="1:12" ht="15.75" customHeight="1" x14ac:dyDescent="0.25">
      <c r="A364" s="2"/>
      <c r="B364" s="2"/>
      <c r="C364" s="455" t="s">
        <v>172</v>
      </c>
      <c r="D364" s="455"/>
      <c r="E364" s="6" t="str">
        <f>IF(E151="Incluido IGV","INCLUIDO IGV",IF(AND(E151="Sin IGV"),"SIN IGV"))</f>
        <v>SIN IGV</v>
      </c>
      <c r="F364" s="25"/>
      <c r="G364" s="2"/>
      <c r="H364" s="2"/>
      <c r="I364" s="2"/>
      <c r="K364" s="154"/>
      <c r="L364" s="154"/>
    </row>
    <row r="365" spans="1:12" ht="15.75" customHeight="1" x14ac:dyDescent="0.25">
      <c r="A365" s="2"/>
      <c r="B365" s="2"/>
      <c r="C365" s="77"/>
      <c r="D365" s="77"/>
      <c r="E365" s="4"/>
      <c r="F365" s="2"/>
      <c r="G365" s="2"/>
      <c r="H365" s="2"/>
      <c r="I365" s="2"/>
    </row>
    <row r="366" spans="1:12" x14ac:dyDescent="0.25">
      <c r="A366" s="22"/>
      <c r="B366" s="2"/>
      <c r="C366" s="2"/>
      <c r="D366" s="2"/>
      <c r="E366" s="2"/>
      <c r="F366" s="2"/>
      <c r="G366" s="2"/>
      <c r="H366" s="2"/>
      <c r="I366" s="2"/>
    </row>
    <row r="367" spans="1:12" x14ac:dyDescent="0.25">
      <c r="A367" s="495" t="s">
        <v>56</v>
      </c>
      <c r="B367" s="495"/>
      <c r="C367" s="518" t="s">
        <v>688</v>
      </c>
      <c r="D367" s="518"/>
      <c r="E367" s="518"/>
      <c r="F367" s="238">
        <f>E31</f>
        <v>210</v>
      </c>
      <c r="G367" s="239" t="s">
        <v>193</v>
      </c>
      <c r="H367" s="2"/>
      <c r="I367" s="2"/>
    </row>
    <row r="368" spans="1:12" ht="15.75" x14ac:dyDescent="0.25">
      <c r="A368" s="2"/>
      <c r="B368" s="2"/>
      <c r="C368" s="32" t="s">
        <v>57</v>
      </c>
      <c r="D368" s="68">
        <f>B101</f>
        <v>12</v>
      </c>
      <c r="E368" s="2" t="s">
        <v>168</v>
      </c>
      <c r="F368" s="2"/>
      <c r="G368" s="2"/>
      <c r="H368" s="2"/>
      <c r="I368" s="2"/>
    </row>
    <row r="369" spans="1:11" ht="15.75" x14ac:dyDescent="0.25">
      <c r="A369" s="2"/>
      <c r="B369" s="2"/>
      <c r="C369" s="32" t="s">
        <v>58</v>
      </c>
      <c r="D369" s="76" t="s">
        <v>42</v>
      </c>
      <c r="E369" s="2"/>
      <c r="F369" s="77"/>
      <c r="G369" s="77" t="s">
        <v>59</v>
      </c>
      <c r="H369" s="78">
        <f>H372+H378+H385</f>
        <v>428.93156573837575</v>
      </c>
      <c r="I369" s="2"/>
    </row>
    <row r="370" spans="1:11" x14ac:dyDescent="0.25">
      <c r="A370" s="497"/>
      <c r="B370" s="497"/>
      <c r="C370" s="26" t="s">
        <v>60</v>
      </c>
      <c r="D370" s="26" t="s">
        <v>61</v>
      </c>
      <c r="E370" s="26" t="s">
        <v>62</v>
      </c>
      <c r="F370" s="26" t="s">
        <v>63</v>
      </c>
      <c r="G370" s="497" t="s">
        <v>64</v>
      </c>
      <c r="H370" s="497"/>
      <c r="I370" s="2"/>
      <c r="K370" s="80"/>
    </row>
    <row r="371" spans="1:11" x14ac:dyDescent="0.25">
      <c r="A371" s="470" t="s">
        <v>65</v>
      </c>
      <c r="B371" s="470"/>
      <c r="C371" s="470"/>
      <c r="D371" s="470"/>
      <c r="E371" s="470"/>
      <c r="F371" s="470"/>
      <c r="G371" s="498"/>
      <c r="H371" s="498"/>
      <c r="I371" s="2"/>
    </row>
    <row r="372" spans="1:11" x14ac:dyDescent="0.25">
      <c r="A372" s="469" t="s">
        <v>66</v>
      </c>
      <c r="B372" s="469"/>
      <c r="C372" s="11" t="s">
        <v>67</v>
      </c>
      <c r="D372" s="81">
        <f>G319</f>
        <v>0.13333333333333333</v>
      </c>
      <c r="E372" s="12">
        <f>IF(D185="SI",G174,IF(AND(D185="NO"),((E160*1.1)/8)))</f>
        <v>26.646464625</v>
      </c>
      <c r="F372" s="82">
        <f>D372*E372</f>
        <v>3.55286195</v>
      </c>
      <c r="G372" s="473" t="s">
        <v>24</v>
      </c>
      <c r="H372" s="475">
        <f>F372+F373+F374+F375+F376</f>
        <v>170.96888341666664</v>
      </c>
      <c r="I372" s="2"/>
    </row>
    <row r="373" spans="1:11" x14ac:dyDescent="0.25">
      <c r="A373" s="469" t="s">
        <v>68</v>
      </c>
      <c r="B373" s="469"/>
      <c r="C373" s="11" t="s">
        <v>67</v>
      </c>
      <c r="D373" s="81">
        <f>G320</f>
        <v>1.3333333333333333</v>
      </c>
      <c r="E373" s="12">
        <f>IF(D185="SI",G175,IF(AND(D185="NO"),(E160/8)))</f>
        <v>24.224058749999998</v>
      </c>
      <c r="F373" s="82">
        <f t="shared" ref="F373:F376" si="5">D373*E373</f>
        <v>32.298744999999997</v>
      </c>
      <c r="G373" s="519"/>
      <c r="H373" s="520"/>
      <c r="I373" s="2"/>
    </row>
    <row r="374" spans="1:11" x14ac:dyDescent="0.25">
      <c r="A374" s="469" t="s">
        <v>69</v>
      </c>
      <c r="B374" s="469"/>
      <c r="C374" s="11" t="s">
        <v>67</v>
      </c>
      <c r="D374" s="81">
        <f>G321</f>
        <v>1.3333333333333333</v>
      </c>
      <c r="E374" s="12">
        <f>IF(D185="SI",G176,IF(AND(D185="NO"),(F160/8)))</f>
        <v>19.121340624999998</v>
      </c>
      <c r="F374" s="82">
        <f t="shared" si="5"/>
        <v>25.495120833333331</v>
      </c>
      <c r="G374" s="519"/>
      <c r="H374" s="520"/>
      <c r="I374" s="2"/>
    </row>
    <row r="375" spans="1:11" x14ac:dyDescent="0.25">
      <c r="A375" s="469" t="s">
        <v>70</v>
      </c>
      <c r="B375" s="469"/>
      <c r="C375" s="11" t="s">
        <v>67</v>
      </c>
      <c r="D375" s="81">
        <f>G322</f>
        <v>5.333333333333333</v>
      </c>
      <c r="E375" s="12">
        <f>IF(D185="SI",G177,IF(AND(D185="NO"),(G160/8)))</f>
        <v>17.283906249999998</v>
      </c>
      <c r="F375" s="82">
        <f t="shared" si="5"/>
        <v>92.180833333333311</v>
      </c>
      <c r="G375" s="519"/>
      <c r="H375" s="520"/>
      <c r="I375" s="2"/>
    </row>
    <row r="376" spans="1:11" x14ac:dyDescent="0.25">
      <c r="A376" s="477" t="s">
        <v>266</v>
      </c>
      <c r="B376" s="478"/>
      <c r="C376" s="11" t="s">
        <v>67</v>
      </c>
      <c r="D376" s="81">
        <f>G323</f>
        <v>0.66666666666666663</v>
      </c>
      <c r="E376" s="12">
        <f>IF(D185="SI",G179,IF(AND(D185="NO"),((E160*1.08)/8)))</f>
        <v>26.161983449999997</v>
      </c>
      <c r="F376" s="82">
        <f t="shared" si="5"/>
        <v>17.441322299999996</v>
      </c>
      <c r="G376" s="474"/>
      <c r="H376" s="476"/>
      <c r="I376" s="2"/>
    </row>
    <row r="377" spans="1:11" x14ac:dyDescent="0.25">
      <c r="A377" s="470" t="s">
        <v>72</v>
      </c>
      <c r="B377" s="470"/>
      <c r="C377" s="470"/>
      <c r="D377" s="470"/>
      <c r="E377" s="470"/>
      <c r="F377" s="470"/>
      <c r="G377" s="471"/>
      <c r="H377" s="471"/>
      <c r="I377" s="2"/>
    </row>
    <row r="378" spans="1:11" x14ac:dyDescent="0.25">
      <c r="A378" s="469" t="s">
        <v>73</v>
      </c>
      <c r="B378" s="469"/>
      <c r="C378" s="11" t="s">
        <v>74</v>
      </c>
      <c r="D378" s="12">
        <f>F229</f>
        <v>9.73</v>
      </c>
      <c r="E378" s="12">
        <f>IF(E151="Incluido IGV",F126,IF(AND(E151="Sin IGV"),H126))</f>
        <v>18.64406779661017</v>
      </c>
      <c r="F378" s="82">
        <f>D378*E378</f>
        <v>181.40677966101697</v>
      </c>
      <c r="G378" s="473" t="s">
        <v>24</v>
      </c>
      <c r="H378" s="475">
        <f>F378+F379+F380+F381+F382+F383</f>
        <v>240.40423728813565</v>
      </c>
      <c r="I378" s="2"/>
    </row>
    <row r="379" spans="1:11" ht="15.75" x14ac:dyDescent="0.25">
      <c r="A379" s="469" t="s">
        <v>267</v>
      </c>
      <c r="B379" s="469"/>
      <c r="C379" s="11" t="s">
        <v>76</v>
      </c>
      <c r="D379" s="12">
        <f>F230</f>
        <v>0.52</v>
      </c>
      <c r="E379" s="12">
        <f>IF(E151="Incluido IGV",F127,IF(AND(E151="Sin IGV"),H127))</f>
        <v>50.847457627118644</v>
      </c>
      <c r="F379" s="82">
        <f t="shared" ref="F379:F383" si="6">D379*E379</f>
        <v>26.440677966101696</v>
      </c>
      <c r="G379" s="519"/>
      <c r="H379" s="520"/>
      <c r="I379" s="2"/>
      <c r="K379" s="83"/>
    </row>
    <row r="380" spans="1:11" ht="15.75" x14ac:dyDescent="0.25">
      <c r="A380" s="469" t="s">
        <v>268</v>
      </c>
      <c r="B380" s="469"/>
      <c r="C380" s="11" t="s">
        <v>76</v>
      </c>
      <c r="D380" s="12">
        <f>F231</f>
        <v>0.53</v>
      </c>
      <c r="E380" s="12">
        <f>IF(E151="Incluido IGV",F128,IF(AND(E151="Sin IGV"),H128))</f>
        <v>55.084745762711869</v>
      </c>
      <c r="F380" s="82">
        <f t="shared" si="6"/>
        <v>29.194915254237291</v>
      </c>
      <c r="G380" s="519"/>
      <c r="H380" s="520"/>
      <c r="I380" s="2"/>
      <c r="K380" s="83"/>
    </row>
    <row r="381" spans="1:11" ht="15.75" x14ac:dyDescent="0.25">
      <c r="A381" s="469" t="s">
        <v>77</v>
      </c>
      <c r="B381" s="469"/>
      <c r="C381" s="11" t="s">
        <v>76</v>
      </c>
      <c r="D381" s="170">
        <f>F232</f>
        <v>0.186</v>
      </c>
      <c r="E381" s="12">
        <f>IF(E151="Incluido IGV",F129,IF(AND(E151="Sin IGV"),H129))</f>
        <v>4.2372881355932206</v>
      </c>
      <c r="F381" s="82">
        <f t="shared" si="6"/>
        <v>0.78813559322033899</v>
      </c>
      <c r="G381" s="519"/>
      <c r="H381" s="520"/>
      <c r="I381" s="2"/>
      <c r="K381" s="83"/>
    </row>
    <row r="382" spans="1:11" x14ac:dyDescent="0.25">
      <c r="A382" s="477" t="str">
        <f>IF(G48="NO","GASOLINA DE 84 OCTANOS",IF(AND(G48="SI"),"-"))</f>
        <v>GASOLINA DE 84 OCTANOS</v>
      </c>
      <c r="B382" s="478"/>
      <c r="C382" s="11" t="str">
        <f>IF(G48="NO","galón",IF(AND(G48="SI"),"-"))</f>
        <v>galón</v>
      </c>
      <c r="D382" s="170">
        <f>IF(G48="NO",E45,IF(AND(G48="SI"),0))</f>
        <v>0.3</v>
      </c>
      <c r="E382" s="12">
        <f>IF(E151="Incluido IGV",F130,IF(AND(E151="Sin IGV"),H130))</f>
        <v>8.1271186440677976</v>
      </c>
      <c r="F382" s="82">
        <f t="shared" si="6"/>
        <v>2.438135593220339</v>
      </c>
      <c r="G382" s="519"/>
      <c r="H382" s="520"/>
      <c r="I382" s="2"/>
      <c r="J382" s="298"/>
      <c r="K382" s="83"/>
    </row>
    <row r="383" spans="1:11" x14ac:dyDescent="0.25">
      <c r="A383" s="477" t="str">
        <f>IF(G49="NO","GRASA MULTIPROPÓSITOS",IF(AND(G49="SI"),"-"))</f>
        <v>GRASA MULTIPROPÓSITOS</v>
      </c>
      <c r="B383" s="478"/>
      <c r="C383" s="11" t="str">
        <f>IF(G49="NO","kg",IF(AND(G49="SI"),"-"))</f>
        <v>kg</v>
      </c>
      <c r="D383" s="170">
        <f>IF(G49="NO",E46,IF(AND(G49="SI"),0))</f>
        <v>8.0000000000000002E-3</v>
      </c>
      <c r="E383" s="12">
        <f>IF(E151="Incluido IGV",F131,IF(AND(E151="Sin IGV"),H131))</f>
        <v>16.949152542372882</v>
      </c>
      <c r="F383" s="82">
        <f t="shared" si="6"/>
        <v>0.13559322033898305</v>
      </c>
      <c r="G383" s="474"/>
      <c r="H383" s="476"/>
      <c r="I383" s="2"/>
      <c r="J383" s="298"/>
      <c r="K383" s="83"/>
    </row>
    <row r="384" spans="1:11" x14ac:dyDescent="0.25">
      <c r="A384" s="470" t="s">
        <v>78</v>
      </c>
      <c r="B384" s="470"/>
      <c r="C384" s="470"/>
      <c r="D384" s="470"/>
      <c r="E384" s="470"/>
      <c r="F384" s="470"/>
      <c r="G384" s="471"/>
      <c r="H384" s="471"/>
      <c r="I384" s="2"/>
      <c r="K384" s="83"/>
    </row>
    <row r="385" spans="1:11" x14ac:dyDescent="0.25">
      <c r="A385" s="477" t="s">
        <v>269</v>
      </c>
      <c r="B385" s="478"/>
      <c r="C385" s="11" t="s">
        <v>80</v>
      </c>
      <c r="D385" s="240">
        <f>G353</f>
        <v>0.66666666666666663</v>
      </c>
      <c r="E385" s="241">
        <f>IF(E151="Incluido IGV",F147,IF(AND(E151="Sin IGV"),H147))</f>
        <v>8.4745762711864412</v>
      </c>
      <c r="F385" s="242">
        <f>D385*E385</f>
        <v>5.6497175141242941</v>
      </c>
      <c r="G385" s="473" t="s">
        <v>24</v>
      </c>
      <c r="H385" s="475">
        <f>F385+F386+F387</f>
        <v>17.558445033573445</v>
      </c>
      <c r="I385" s="2"/>
      <c r="K385" s="83"/>
    </row>
    <row r="386" spans="1:11" x14ac:dyDescent="0.25">
      <c r="A386" s="477" t="s">
        <v>79</v>
      </c>
      <c r="B386" s="478"/>
      <c r="C386" s="11" t="s">
        <v>80</v>
      </c>
      <c r="D386" s="240">
        <f>G355</f>
        <v>0.66666666666666663</v>
      </c>
      <c r="E386" s="241">
        <f>IF(E151="Incluido IGV",F148,IF(AND(E151="Sin IGV"),H148))</f>
        <v>10.16949152542373</v>
      </c>
      <c r="F386" s="242">
        <f>D386*E386</f>
        <v>6.7796610169491531</v>
      </c>
      <c r="G386" s="519"/>
      <c r="H386" s="520"/>
      <c r="I386" s="2"/>
      <c r="K386" s="83"/>
    </row>
    <row r="387" spans="1:11" x14ac:dyDescent="0.25">
      <c r="A387" s="477" t="s">
        <v>81</v>
      </c>
      <c r="B387" s="478"/>
      <c r="C387" s="11" t="s">
        <v>82</v>
      </c>
      <c r="D387" s="86">
        <f>E118</f>
        <v>0.03</v>
      </c>
      <c r="E387" s="12">
        <f>H372</f>
        <v>170.96888341666664</v>
      </c>
      <c r="F387" s="12">
        <f>D387*E387</f>
        <v>5.1290665024999988</v>
      </c>
      <c r="G387" s="474"/>
      <c r="H387" s="476"/>
      <c r="I387" s="2"/>
      <c r="K387" s="83"/>
    </row>
    <row r="388" spans="1:11" x14ac:dyDescent="0.25">
      <c r="A388" s="2"/>
      <c r="B388" s="2"/>
      <c r="C388" s="2"/>
      <c r="D388" s="2"/>
      <c r="E388" s="2"/>
      <c r="F388" s="2"/>
      <c r="G388" s="2"/>
      <c r="H388" s="2"/>
      <c r="I388" s="2"/>
    </row>
    <row r="389" spans="1:11" x14ac:dyDescent="0.25">
      <c r="A389" s="2"/>
      <c r="B389" s="2"/>
      <c r="C389" s="2"/>
      <c r="D389" s="2"/>
      <c r="E389" s="2"/>
      <c r="F389" s="2"/>
      <c r="G389" s="2"/>
      <c r="H389" s="2"/>
      <c r="I389" s="2"/>
    </row>
    <row r="390" spans="1:11" x14ac:dyDescent="0.25">
      <c r="A390" s="2"/>
      <c r="B390" s="2"/>
      <c r="C390" s="2"/>
      <c r="D390" s="2"/>
      <c r="E390" s="2"/>
      <c r="F390" s="2"/>
      <c r="G390" s="2"/>
      <c r="H390" s="2"/>
      <c r="I390" s="2"/>
    </row>
    <row r="391" spans="1:11" x14ac:dyDescent="0.25">
      <c r="A391" s="495" t="s">
        <v>56</v>
      </c>
      <c r="B391" s="495"/>
      <c r="C391" s="239" t="s">
        <v>686</v>
      </c>
      <c r="D391" s="239"/>
      <c r="E391" s="239"/>
      <c r="F391" s="238"/>
      <c r="G391" s="2"/>
      <c r="H391" s="2"/>
      <c r="I391" s="2"/>
    </row>
    <row r="392" spans="1:11" ht="15.75" x14ac:dyDescent="0.25">
      <c r="A392" s="2"/>
      <c r="B392" s="2"/>
      <c r="C392" s="32" t="s">
        <v>57</v>
      </c>
      <c r="D392" s="68">
        <f>B103</f>
        <v>14</v>
      </c>
      <c r="E392" s="2" t="s">
        <v>313</v>
      </c>
      <c r="F392" s="2"/>
      <c r="G392" s="2"/>
      <c r="H392" s="2"/>
      <c r="I392" s="2"/>
    </row>
    <row r="393" spans="1:11" ht="15.75" x14ac:dyDescent="0.25">
      <c r="A393" s="2"/>
      <c r="B393" s="2"/>
      <c r="C393" s="32" t="s">
        <v>58</v>
      </c>
      <c r="D393" s="76" t="s">
        <v>314</v>
      </c>
      <c r="E393" s="2"/>
      <c r="F393" s="77"/>
      <c r="G393" s="77" t="s">
        <v>59</v>
      </c>
      <c r="H393" s="78">
        <f>H396+H401+H405</f>
        <v>55.792622052795394</v>
      </c>
      <c r="I393" s="2"/>
    </row>
    <row r="394" spans="1:11" x14ac:dyDescent="0.25">
      <c r="A394" s="497"/>
      <c r="B394" s="497"/>
      <c r="C394" s="26" t="s">
        <v>60</v>
      </c>
      <c r="D394" s="26" t="s">
        <v>61</v>
      </c>
      <c r="E394" s="26" t="s">
        <v>62</v>
      </c>
      <c r="F394" s="26" t="s">
        <v>63</v>
      </c>
      <c r="G394" s="497" t="s">
        <v>64</v>
      </c>
      <c r="H394" s="497"/>
      <c r="I394" s="2"/>
      <c r="K394" s="80"/>
    </row>
    <row r="395" spans="1:11" x14ac:dyDescent="0.25">
      <c r="A395" s="470" t="s">
        <v>65</v>
      </c>
      <c r="B395" s="470"/>
      <c r="C395" s="470"/>
      <c r="D395" s="470"/>
      <c r="E395" s="470"/>
      <c r="F395" s="470"/>
      <c r="G395" s="498"/>
      <c r="H395" s="498"/>
      <c r="I395" s="2"/>
    </row>
    <row r="396" spans="1:11" x14ac:dyDescent="0.25">
      <c r="A396" s="469" t="s">
        <v>66</v>
      </c>
      <c r="B396" s="469"/>
      <c r="C396" s="11" t="s">
        <v>67</v>
      </c>
      <c r="D396" s="81">
        <f>G330</f>
        <v>5.7142857142857148E-2</v>
      </c>
      <c r="E396" s="12">
        <f>IF(D185="SI",G174,IF(AND(D185="NO"),((E160*1.1)/8)))</f>
        <v>26.646464625</v>
      </c>
      <c r="F396" s="82">
        <f>D396*E396</f>
        <v>1.5226551214285715</v>
      </c>
      <c r="G396" s="473" t="s">
        <v>24</v>
      </c>
      <c r="H396" s="475">
        <f>F396+F397+F398+F399</f>
        <v>31.229713692857139</v>
      </c>
      <c r="I396" s="2"/>
    </row>
    <row r="397" spans="1:11" x14ac:dyDescent="0.25">
      <c r="A397" s="469" t="s">
        <v>68</v>
      </c>
      <c r="B397" s="469"/>
      <c r="C397" s="11" t="s">
        <v>67</v>
      </c>
      <c r="D397" s="81">
        <f>G331</f>
        <v>0.5714285714285714</v>
      </c>
      <c r="E397" s="12">
        <f>IF(D185="SI",G175,IF(AND(D185="NO"),(E160/8)))</f>
        <v>24.224058749999998</v>
      </c>
      <c r="F397" s="82">
        <f t="shared" ref="F397:F399" si="7">D397*E397</f>
        <v>13.842319285714284</v>
      </c>
      <c r="G397" s="519"/>
      <c r="H397" s="520"/>
      <c r="I397" s="2"/>
      <c r="J397" s="2"/>
    </row>
    <row r="398" spans="1:11" x14ac:dyDescent="0.25">
      <c r="A398" s="469" t="s">
        <v>69</v>
      </c>
      <c r="B398" s="469"/>
      <c r="C398" s="11" t="s">
        <v>67</v>
      </c>
      <c r="D398" s="81">
        <f>G332</f>
        <v>0.5714285714285714</v>
      </c>
      <c r="E398" s="12">
        <f>IF(D185="SI",G176,IF(AND(D185="NO"),(F160/8)))</f>
        <v>19.121340624999998</v>
      </c>
      <c r="F398" s="82">
        <f t="shared" si="7"/>
        <v>10.926480357142855</v>
      </c>
      <c r="G398" s="519"/>
      <c r="H398" s="520"/>
      <c r="I398" s="2"/>
    </row>
    <row r="399" spans="1:11" x14ac:dyDescent="0.25">
      <c r="A399" s="469" t="s">
        <v>70</v>
      </c>
      <c r="B399" s="469"/>
      <c r="C399" s="11" t="s">
        <v>67</v>
      </c>
      <c r="D399" s="81">
        <f>G333</f>
        <v>0.2857142857142857</v>
      </c>
      <c r="E399" s="12">
        <f>IF(D185="SI",G177,IF(AND(D185="NO"),(G160/8)))</f>
        <v>17.283906249999998</v>
      </c>
      <c r="F399" s="82">
        <f t="shared" si="7"/>
        <v>4.938258928571428</v>
      </c>
      <c r="G399" s="474"/>
      <c r="H399" s="476"/>
      <c r="I399" s="2"/>
    </row>
    <row r="400" spans="1:11" x14ac:dyDescent="0.25">
      <c r="A400" s="470" t="s">
        <v>72</v>
      </c>
      <c r="B400" s="470"/>
      <c r="C400" s="470"/>
      <c r="D400" s="470"/>
      <c r="E400" s="470"/>
      <c r="F400" s="470"/>
      <c r="G400" s="471"/>
      <c r="H400" s="471"/>
      <c r="I400" s="2"/>
    </row>
    <row r="401" spans="1:14" ht="15.75" x14ac:dyDescent="0.25">
      <c r="A401" s="469" t="s">
        <v>270</v>
      </c>
      <c r="B401" s="469"/>
      <c r="C401" s="11" t="s">
        <v>315</v>
      </c>
      <c r="D401" s="12">
        <f>F247</f>
        <v>5.41</v>
      </c>
      <c r="E401" s="12">
        <f>IF(E151="Incluido IGV",F141,IF(AND(E151="Sin IGV"),H141))</f>
        <v>3.8135593220338984</v>
      </c>
      <c r="F401" s="82">
        <f>D401*E401</f>
        <v>20.631355932203391</v>
      </c>
      <c r="G401" s="473" t="s">
        <v>24</v>
      </c>
      <c r="H401" s="475">
        <f>F401+F402+F403</f>
        <v>23.626016949152543</v>
      </c>
      <c r="I401" s="2"/>
    </row>
    <row r="402" spans="1:14" x14ac:dyDescent="0.25">
      <c r="A402" s="469" t="s">
        <v>271</v>
      </c>
      <c r="B402" s="469"/>
      <c r="C402" s="11" t="s">
        <v>169</v>
      </c>
      <c r="D402" s="12">
        <f>F248</f>
        <v>0.24</v>
      </c>
      <c r="E402" s="12">
        <f>IF(E151="Incluido IGV",F142,IF(AND(E151="Sin IGV"),H142))</f>
        <v>6.8644067796610173</v>
      </c>
      <c r="F402" s="82">
        <f t="shared" ref="F402:F403" si="8">D402*E402</f>
        <v>1.6474576271186441</v>
      </c>
      <c r="G402" s="519"/>
      <c r="H402" s="520"/>
      <c r="I402" s="2"/>
      <c r="K402" s="83"/>
    </row>
    <row r="403" spans="1:14" x14ac:dyDescent="0.25">
      <c r="A403" s="469" t="s">
        <v>438</v>
      </c>
      <c r="B403" s="469"/>
      <c r="C403" s="11" t="s">
        <v>169</v>
      </c>
      <c r="D403" s="12">
        <f>F249</f>
        <v>0.21</v>
      </c>
      <c r="E403" s="12">
        <f>IF(E151="Incluido IGV",F140,IF(AND(E151="Sin IGV"),H140))</f>
        <v>6.4152542372881358</v>
      </c>
      <c r="F403" s="82">
        <f t="shared" si="8"/>
        <v>1.3472033898305085</v>
      </c>
      <c r="G403" s="474"/>
      <c r="H403" s="476"/>
      <c r="I403" s="2"/>
      <c r="K403" s="83"/>
    </row>
    <row r="404" spans="1:14" x14ac:dyDescent="0.25">
      <c r="A404" s="470" t="s">
        <v>78</v>
      </c>
      <c r="B404" s="470"/>
      <c r="C404" s="470"/>
      <c r="D404" s="470"/>
      <c r="E404" s="470"/>
      <c r="F404" s="470"/>
      <c r="G404" s="471"/>
      <c r="H404" s="471"/>
      <c r="I404" s="2"/>
      <c r="K404" s="83"/>
    </row>
    <row r="405" spans="1:14" x14ac:dyDescent="0.25">
      <c r="A405" s="477" t="s">
        <v>81</v>
      </c>
      <c r="B405" s="478"/>
      <c r="C405" s="11" t="s">
        <v>82</v>
      </c>
      <c r="D405" s="86">
        <f>E118</f>
        <v>0.03</v>
      </c>
      <c r="E405" s="12">
        <f>H396</f>
        <v>31.229713692857139</v>
      </c>
      <c r="F405" s="82">
        <f>D405*E405</f>
        <v>0.93689141078571414</v>
      </c>
      <c r="G405" s="243" t="s">
        <v>24</v>
      </c>
      <c r="H405" s="244">
        <f>F405</f>
        <v>0.93689141078571414</v>
      </c>
      <c r="I405" s="2"/>
      <c r="K405" s="83"/>
    </row>
    <row r="406" spans="1:14" x14ac:dyDescent="0.25">
      <c r="A406" s="2"/>
      <c r="B406" s="2"/>
      <c r="C406" s="2"/>
      <c r="D406" s="2"/>
      <c r="E406" s="2"/>
      <c r="F406" s="2"/>
      <c r="G406" s="2"/>
      <c r="H406" s="2"/>
      <c r="I406" s="2"/>
    </row>
    <row r="407" spans="1:14" x14ac:dyDescent="0.25">
      <c r="A407" s="2"/>
      <c r="B407" s="2"/>
      <c r="C407" s="2"/>
      <c r="D407" s="2"/>
      <c r="E407" s="2"/>
      <c r="F407" s="2"/>
      <c r="G407" s="2"/>
      <c r="H407" s="2"/>
      <c r="I407" s="2"/>
    </row>
    <row r="408" spans="1:14" x14ac:dyDescent="0.25">
      <c r="A408" s="2"/>
      <c r="B408" s="2"/>
      <c r="C408" s="2"/>
      <c r="D408" s="2"/>
      <c r="E408" s="2"/>
      <c r="F408" s="2"/>
      <c r="G408" s="2"/>
      <c r="H408" s="2"/>
      <c r="I408" s="2"/>
    </row>
    <row r="409" spans="1:14" x14ac:dyDescent="0.25">
      <c r="A409" s="495" t="s">
        <v>56</v>
      </c>
      <c r="B409" s="495"/>
      <c r="C409" s="239" t="s">
        <v>272</v>
      </c>
      <c r="D409" s="239"/>
      <c r="E409" s="239"/>
      <c r="F409" s="238"/>
      <c r="G409" s="2"/>
      <c r="H409" s="2"/>
      <c r="I409" s="2"/>
    </row>
    <row r="410" spans="1:14" x14ac:dyDescent="0.25">
      <c r="A410" s="2"/>
      <c r="B410" s="2"/>
      <c r="C410" s="32" t="s">
        <v>57</v>
      </c>
      <c r="D410" s="68">
        <f>B105</f>
        <v>250</v>
      </c>
      <c r="E410" s="2" t="s">
        <v>228</v>
      </c>
      <c r="F410" s="2"/>
      <c r="G410" s="2"/>
      <c r="H410" s="2"/>
      <c r="I410" s="2"/>
    </row>
    <row r="411" spans="1:14" x14ac:dyDescent="0.25">
      <c r="A411" s="2"/>
      <c r="B411" s="2"/>
      <c r="C411" s="32" t="s">
        <v>58</v>
      </c>
      <c r="D411" s="76" t="s">
        <v>169</v>
      </c>
      <c r="E411" s="2"/>
      <c r="F411" s="77"/>
      <c r="G411" s="77" t="s">
        <v>59</v>
      </c>
      <c r="H411" s="78">
        <f>H414+H419+H422</f>
        <v>6.8707889249329845</v>
      </c>
      <c r="I411" s="2"/>
    </row>
    <row r="412" spans="1:14" x14ac:dyDescent="0.25">
      <c r="A412" s="497"/>
      <c r="B412" s="497"/>
      <c r="C412" s="26" t="s">
        <v>60</v>
      </c>
      <c r="D412" s="26" t="s">
        <v>61</v>
      </c>
      <c r="E412" s="26" t="s">
        <v>62</v>
      </c>
      <c r="F412" s="26" t="s">
        <v>63</v>
      </c>
      <c r="G412" s="497" t="s">
        <v>64</v>
      </c>
      <c r="H412" s="497"/>
      <c r="I412" s="2"/>
      <c r="K412" s="80"/>
    </row>
    <row r="413" spans="1:14" x14ac:dyDescent="0.25">
      <c r="A413" s="470" t="s">
        <v>65</v>
      </c>
      <c r="B413" s="470"/>
      <c r="C413" s="470"/>
      <c r="D413" s="470"/>
      <c r="E413" s="470"/>
      <c r="F413" s="470"/>
      <c r="G413" s="498"/>
      <c r="H413" s="498"/>
      <c r="I413" s="2"/>
      <c r="K413" s="54"/>
    </row>
    <row r="414" spans="1:14" x14ac:dyDescent="0.25">
      <c r="A414" s="469" t="s">
        <v>66</v>
      </c>
      <c r="B414" s="469"/>
      <c r="C414" s="11" t="s">
        <v>67</v>
      </c>
      <c r="D414" s="81">
        <f>G340</f>
        <v>3.2000000000000002E-3</v>
      </c>
      <c r="E414" s="12">
        <f>IF(D185="SI",G174,IF(AND(D185="NO"),((E160*1.1)/8)))</f>
        <v>26.646464625</v>
      </c>
      <c r="F414" s="82">
        <f>D414*E414</f>
        <v>8.5268686800000007E-2</v>
      </c>
      <c r="G414" s="473" t="s">
        <v>24</v>
      </c>
      <c r="H414" s="475">
        <f>F414+F415+F416+F417</f>
        <v>2.0254064667999998</v>
      </c>
      <c r="I414" s="2"/>
    </row>
    <row r="415" spans="1:14" x14ac:dyDescent="0.25">
      <c r="A415" s="469" t="s">
        <v>68</v>
      </c>
      <c r="B415" s="469"/>
      <c r="C415" s="11" t="s">
        <v>67</v>
      </c>
      <c r="D415" s="81">
        <f>G341</f>
        <v>3.2000000000000001E-2</v>
      </c>
      <c r="E415" s="12">
        <f>IF(D185="SI",G175,IF(AND(D185="NO"),(E160/8)))</f>
        <v>24.224058749999998</v>
      </c>
      <c r="F415" s="82">
        <f t="shared" ref="F415:F417" si="9">D415*E415</f>
        <v>0.77516987999999998</v>
      </c>
      <c r="G415" s="519"/>
      <c r="H415" s="520"/>
      <c r="I415" s="2"/>
      <c r="J415" s="245"/>
      <c r="K415" s="245"/>
      <c r="L415" s="245"/>
      <c r="M415" s="54"/>
      <c r="N415" s="54"/>
    </row>
    <row r="416" spans="1:14" x14ac:dyDescent="0.25">
      <c r="A416" s="469" t="s">
        <v>69</v>
      </c>
      <c r="B416" s="469"/>
      <c r="C416" s="11" t="s">
        <v>67</v>
      </c>
      <c r="D416" s="81">
        <f>G342</f>
        <v>3.2000000000000001E-2</v>
      </c>
      <c r="E416" s="12">
        <f>IF(D185="SI",G176,IF(AND(D185="NO"),(F160/8)))</f>
        <v>19.121340624999998</v>
      </c>
      <c r="F416" s="82">
        <f t="shared" si="9"/>
        <v>0.61188290000000001</v>
      </c>
      <c r="G416" s="519"/>
      <c r="H416" s="520"/>
      <c r="I416" s="2"/>
      <c r="J416" s="245"/>
      <c r="K416" s="245"/>
      <c r="L416" s="245"/>
      <c r="M416" s="54"/>
      <c r="N416" s="54"/>
    </row>
    <row r="417" spans="1:18" x14ac:dyDescent="0.25">
      <c r="A417" s="469" t="s">
        <v>70</v>
      </c>
      <c r="B417" s="469"/>
      <c r="C417" s="11" t="s">
        <v>67</v>
      </c>
      <c r="D417" s="81">
        <f>G343</f>
        <v>3.2000000000000001E-2</v>
      </c>
      <c r="E417" s="12">
        <f>IF(D185="SI",G177,IF(AND(D185="NO"),(G160/8)))</f>
        <v>17.283906249999998</v>
      </c>
      <c r="F417" s="82">
        <f t="shared" si="9"/>
        <v>0.55308499999999994</v>
      </c>
      <c r="G417" s="474"/>
      <c r="H417" s="476"/>
      <c r="I417" s="2"/>
      <c r="J417" s="247"/>
      <c r="K417" s="245"/>
      <c r="L417" s="245"/>
      <c r="M417" s="54"/>
      <c r="N417" s="54"/>
    </row>
    <row r="418" spans="1:18" x14ac:dyDescent="0.25">
      <c r="A418" s="470" t="s">
        <v>72</v>
      </c>
      <c r="B418" s="470"/>
      <c r="C418" s="470"/>
      <c r="D418" s="470"/>
      <c r="E418" s="470"/>
      <c r="F418" s="470"/>
      <c r="G418" s="471"/>
      <c r="H418" s="471"/>
      <c r="I418" s="2"/>
      <c r="J418" s="245"/>
      <c r="K418" s="245"/>
      <c r="L418" s="245"/>
      <c r="M418" s="54"/>
      <c r="N418" s="54"/>
    </row>
    <row r="419" spans="1:18" x14ac:dyDescent="0.25">
      <c r="A419" s="469" t="s">
        <v>316</v>
      </c>
      <c r="B419" s="469"/>
      <c r="C419" s="11" t="s">
        <v>169</v>
      </c>
      <c r="D419" s="170">
        <f>F262</f>
        <v>1.0430909090909091</v>
      </c>
      <c r="E419" s="12">
        <f>IF(E151="Incluido IGV",((F132/(F283*H58))*((F283*F284*F266)/(F283*F284*F266+F283*F285*F267+F283*(F286+F276)*F268+F275*F277*F269+F275*F278*F270+F275*F279*F271+F275*F280*F272))+((F133/(F283*H59))*((F283*F285*F267)/(F283*F284*F266+F283*F285*F267+F283*(F286+F276)*F268+F275*F277*F269+F275*F278*F270+F275*F279*F271+F275*F280*F272))+((F134/(F275*H60))*((F283*(F286+F276)*F268)/(F283*F284*F266+F283*F285*F267+F283*(F286+F276)*F268+F275*F277*F269+F275*F278*F270+F275*F279*F271+F275*F280*F272))+(F135/(F275*H61))*((F275*F277*F269)/(F283*F284*F266+F283*F285*F267+F283*(F286+F276)*F268+F275*F277*F269+F275*F278*F270+F275*F279*F271+F275*F280*F272))+(F136/(F275*H62))*((F275*F278*F270)/(F283*F284*F266+F283*F285*F267+F283*(F286+F276)*F268+F275*F277*F269+F275*F278*F270+F275*F279*F271+F275*F280*F272))+(F137/(F275*H63))*((F275*F279*F271)/(F283*F284*F266+F283*F285*F267+F283*(F286+F276)*F268+F275*F277*F269+F275*F278*F270+F275*F279*F271+F275*F280*F272))+(F138/(F275*H64))*((F275*F280*F272)/(F283*F284*F266+F283*F285*F267+F283*(F286+F276)*F268+F275*F277*F269+F275*F278*F270+F275*F279*F271+F275*F280*F272))))),IF(AND(E151="Sin IGV"),((H132/(F283*H58))*((F283*F284*F266)/(F283*F284*F266+F283*F285*F267+F283*(F286+F276)*F268+F275*F277*F269+F275*F278*F270+F275*F279*F271+F275*F280*F272))+((H133/(F283*H59))*((F283*F285*F267)/(F283*F284*F266+F283*F285*F267+F283*(F286+F276)*F268+F275*F277*F269+F275*F278*F270+F275*F279*F271+F275*F280*F272))+((H134/(F275*H60))*((F283*(F286+F276)*F268)/(F283*F284*F266+F283*F285*F267+F283*(F286+F276)*F268+F275*F277*F269+F275*F278*F270+F275*F279*F271+F275*F280*F272))+(H135/(F275*H61))*((F275*F277*F269)/(F283*F284*F266+F283*F285*F267+F283*(F286+F276)*F268+F275*F277*F269+F275*F278*F270+F275*F279*F271+F275*F280*F272))+(H136/(F275*H62))*((F275*F278*F270)/(F283*F284*F266+F283*F285*F267+F283*(F286+F276)*F268+F275*F277*F269+F275*F278*F270+F275*F279*F271+F275*F280*F272))+(H137/(F275*H63))*((F275*F279*F271)/(F283*F284*F266+F283*F285*F267+F283*(F286+F276)*F268+F275*F277*F269+F275*F278*F270+F275*F279*F271+F275*F280*F272))+(H138/(F275*H64))*((F275*F280*F272)/(F283*F284*F266+F283*F285*F267+F283*(F286+F276)*F268+F275*F277*F269+F275*F278*F270+F275*F279*F271+F275*F280*F272)))))))</f>
        <v>4.2806707447932562</v>
      </c>
      <c r="F419" s="82">
        <f>D419*E419</f>
        <v>4.4651287387052561</v>
      </c>
      <c r="G419" s="473" t="s">
        <v>24</v>
      </c>
      <c r="H419" s="475">
        <f>F419+F420</f>
        <v>4.7846202641289848</v>
      </c>
      <c r="I419" s="2"/>
      <c r="J419" s="245"/>
      <c r="K419" s="245"/>
      <c r="L419" s="245"/>
      <c r="M419" s="54"/>
      <c r="N419" s="54"/>
    </row>
    <row r="420" spans="1:18" x14ac:dyDescent="0.25">
      <c r="A420" s="469" t="s">
        <v>273</v>
      </c>
      <c r="B420" s="469"/>
      <c r="C420" s="11" t="s">
        <v>169</v>
      </c>
      <c r="D420" s="12">
        <f>F263</f>
        <v>0.05</v>
      </c>
      <c r="E420" s="12">
        <f>IF(E151="Incluido IGV",F139,IF(AND(E151="Sin IGV"),H139))</f>
        <v>6.389830508474577</v>
      </c>
      <c r="F420" s="82">
        <f t="shared" ref="F420" si="10">D420*E420</f>
        <v>0.31949152542372888</v>
      </c>
      <c r="G420" s="474"/>
      <c r="H420" s="476"/>
      <c r="I420" s="2"/>
      <c r="J420" s="245"/>
      <c r="K420" s="245"/>
      <c r="L420" s="245"/>
      <c r="M420" s="54"/>
      <c r="N420" s="54"/>
    </row>
    <row r="421" spans="1:18" x14ac:dyDescent="0.25">
      <c r="A421" s="470" t="s">
        <v>78</v>
      </c>
      <c r="B421" s="470"/>
      <c r="C421" s="470"/>
      <c r="D421" s="470"/>
      <c r="E421" s="470"/>
      <c r="F421" s="470"/>
      <c r="G421" s="471"/>
      <c r="H421" s="471"/>
      <c r="I421" s="2"/>
      <c r="J421" s="245"/>
      <c r="K421" s="245"/>
      <c r="L421" s="245"/>
      <c r="M421" s="54"/>
      <c r="N421" s="54"/>
    </row>
    <row r="422" spans="1:18" x14ac:dyDescent="0.25">
      <c r="A422" s="477" t="s">
        <v>81</v>
      </c>
      <c r="B422" s="478"/>
      <c r="C422" s="11" t="s">
        <v>82</v>
      </c>
      <c r="D422" s="86">
        <f>E118</f>
        <v>0.03</v>
      </c>
      <c r="E422" s="12">
        <f>H414</f>
        <v>2.0254064667999998</v>
      </c>
      <c r="F422" s="82">
        <f>D422*E422</f>
        <v>6.0762194003999993E-2</v>
      </c>
      <c r="G422" s="243" t="s">
        <v>24</v>
      </c>
      <c r="H422" s="244">
        <f>F422</f>
        <v>6.0762194003999993E-2</v>
      </c>
      <c r="I422" s="2"/>
      <c r="J422" s="245"/>
      <c r="K422" s="246"/>
      <c r="Q422" s="285"/>
      <c r="R422" s="285"/>
    </row>
    <row r="423" spans="1:18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47"/>
      <c r="K423" s="246"/>
    </row>
    <row r="424" spans="1:18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45"/>
      <c r="K424" s="246"/>
    </row>
    <row r="425" spans="1:18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45"/>
      <c r="K425" s="246"/>
    </row>
    <row r="426" spans="1:18" ht="15.75" x14ac:dyDescent="0.25">
      <c r="A426" s="397" t="s">
        <v>689</v>
      </c>
      <c r="B426" s="398"/>
      <c r="C426" s="398"/>
      <c r="D426" s="398"/>
      <c r="E426" s="2"/>
      <c r="F426" s="2"/>
      <c r="G426" s="2"/>
      <c r="H426" s="2"/>
      <c r="I426" s="2"/>
    </row>
    <row r="427" spans="1:18" ht="15.75" x14ac:dyDescent="0.25">
      <c r="A427" s="153"/>
      <c r="B427" s="153"/>
      <c r="C427" s="153"/>
      <c r="D427" s="153"/>
      <c r="E427" s="2"/>
      <c r="F427" s="2"/>
      <c r="G427" s="2"/>
      <c r="H427" s="2"/>
      <c r="I427" s="2"/>
    </row>
    <row r="428" spans="1:18" ht="15.75" customHeight="1" x14ac:dyDescent="0.25">
      <c r="A428" s="2"/>
      <c r="B428" s="2"/>
      <c r="C428" s="455" t="s">
        <v>171</v>
      </c>
      <c r="D428" s="455"/>
      <c r="E428" s="456" t="str">
        <f>E363</f>
        <v>MAYOR A 50 UIT</v>
      </c>
      <c r="F428" s="456"/>
      <c r="G428" s="31"/>
      <c r="H428" s="31"/>
      <c r="I428" s="31"/>
      <c r="J428" s="154"/>
    </row>
    <row r="429" spans="1:18" ht="15.75" customHeight="1" x14ac:dyDescent="0.25">
      <c r="A429" s="2"/>
      <c r="B429" s="2"/>
      <c r="C429" s="455" t="s">
        <v>172</v>
      </c>
      <c r="D429" s="455"/>
      <c r="E429" s="6" t="str">
        <f>E364</f>
        <v>SIN IGV</v>
      </c>
      <c r="F429" s="25"/>
      <c r="G429" s="2"/>
      <c r="H429" s="2"/>
      <c r="I429" s="2"/>
      <c r="K429" s="154"/>
      <c r="L429" s="154"/>
    </row>
    <row r="430" spans="1:18" ht="15.75" customHeight="1" x14ac:dyDescent="0.25">
      <c r="A430" s="2"/>
      <c r="B430" s="2"/>
      <c r="C430" s="77"/>
      <c r="D430" s="77"/>
      <c r="E430" s="4"/>
      <c r="F430" s="2"/>
      <c r="G430" s="2"/>
      <c r="H430" s="2"/>
      <c r="I430" s="2"/>
    </row>
    <row r="431" spans="1:18" x14ac:dyDescent="0.25">
      <c r="A431" s="2"/>
      <c r="B431" s="500" t="s">
        <v>46</v>
      </c>
      <c r="C431" s="501"/>
      <c r="D431" s="505" t="s">
        <v>60</v>
      </c>
      <c r="E431" s="504" t="s">
        <v>83</v>
      </c>
      <c r="F431" s="504" t="s">
        <v>84</v>
      </c>
      <c r="G431" s="458" t="s">
        <v>85</v>
      </c>
      <c r="H431" s="459"/>
      <c r="I431" s="2"/>
    </row>
    <row r="432" spans="1:18" x14ac:dyDescent="0.25">
      <c r="A432" s="2"/>
      <c r="B432" s="502"/>
      <c r="C432" s="503"/>
      <c r="D432" s="506"/>
      <c r="E432" s="504"/>
      <c r="F432" s="504"/>
      <c r="G432" s="616"/>
      <c r="H432" s="617"/>
      <c r="I432" s="2"/>
    </row>
    <row r="433" spans="1:10" x14ac:dyDescent="0.25">
      <c r="A433" s="2"/>
      <c r="B433" s="491" t="s">
        <v>684</v>
      </c>
      <c r="C433" s="492"/>
      <c r="D433" s="460" t="s">
        <v>317</v>
      </c>
      <c r="E433" s="463">
        <f>G197</f>
        <v>25</v>
      </c>
      <c r="F433" s="466">
        <f>H369</f>
        <v>428.93156573837575</v>
      </c>
      <c r="G433" s="485" t="s">
        <v>24</v>
      </c>
      <c r="H433" s="488">
        <f>E433*F433</f>
        <v>10723.289143459393</v>
      </c>
      <c r="I433" s="2"/>
    </row>
    <row r="434" spans="1:10" x14ac:dyDescent="0.25">
      <c r="A434" s="2"/>
      <c r="B434" s="248" t="s">
        <v>318</v>
      </c>
      <c r="C434" s="249">
        <f>F367</f>
        <v>210</v>
      </c>
      <c r="D434" s="461"/>
      <c r="E434" s="464"/>
      <c r="F434" s="467"/>
      <c r="G434" s="486"/>
      <c r="H434" s="489"/>
      <c r="I434" s="2"/>
    </row>
    <row r="435" spans="1:10" x14ac:dyDescent="0.25">
      <c r="A435" s="2"/>
      <c r="B435" s="493" t="s">
        <v>319</v>
      </c>
      <c r="C435" s="494"/>
      <c r="D435" s="462"/>
      <c r="E435" s="465"/>
      <c r="F435" s="468"/>
      <c r="G435" s="487"/>
      <c r="H435" s="490"/>
      <c r="I435" s="2"/>
    </row>
    <row r="436" spans="1:10" x14ac:dyDescent="0.25">
      <c r="A436" s="2"/>
      <c r="B436" s="479" t="s">
        <v>686</v>
      </c>
      <c r="C436" s="480"/>
      <c r="D436" s="460" t="s">
        <v>314</v>
      </c>
      <c r="E436" s="463">
        <f>G198</f>
        <v>80</v>
      </c>
      <c r="F436" s="466">
        <f>H393</f>
        <v>55.792622052795394</v>
      </c>
      <c r="G436" s="485" t="s">
        <v>24</v>
      </c>
      <c r="H436" s="488">
        <f>E436*F436</f>
        <v>4463.409764223632</v>
      </c>
      <c r="I436" s="2"/>
    </row>
    <row r="437" spans="1:10" x14ac:dyDescent="0.25">
      <c r="A437" s="2"/>
      <c r="B437" s="481"/>
      <c r="C437" s="482"/>
      <c r="D437" s="461"/>
      <c r="E437" s="464"/>
      <c r="F437" s="467"/>
      <c r="G437" s="486"/>
      <c r="H437" s="489"/>
      <c r="I437" s="2"/>
    </row>
    <row r="438" spans="1:10" x14ac:dyDescent="0.25">
      <c r="A438" s="2"/>
      <c r="B438" s="483"/>
      <c r="C438" s="484"/>
      <c r="D438" s="462"/>
      <c r="E438" s="465"/>
      <c r="F438" s="468"/>
      <c r="G438" s="487"/>
      <c r="H438" s="490"/>
      <c r="I438" s="2"/>
    </row>
    <row r="439" spans="1:10" x14ac:dyDescent="0.25">
      <c r="A439" s="2"/>
      <c r="B439" s="479" t="s">
        <v>274</v>
      </c>
      <c r="C439" s="480"/>
      <c r="D439" s="460" t="s">
        <v>169</v>
      </c>
      <c r="E439" s="463">
        <f>F283*F284*F266+F283*F285*F267+F283*(F286+F276)*F268+F275*F277*F269+F275*F278*F270+F275*F279*F271+F275*F280*F272</f>
        <v>1100</v>
      </c>
      <c r="F439" s="466">
        <f>H411</f>
        <v>6.8707889249329845</v>
      </c>
      <c r="G439" s="485" t="s">
        <v>24</v>
      </c>
      <c r="H439" s="488">
        <f>E439*F439</f>
        <v>7557.8678174262832</v>
      </c>
      <c r="I439" s="2"/>
    </row>
    <row r="440" spans="1:10" x14ac:dyDescent="0.25">
      <c r="A440" s="2"/>
      <c r="B440" s="481"/>
      <c r="C440" s="482"/>
      <c r="D440" s="461"/>
      <c r="E440" s="464"/>
      <c r="F440" s="467"/>
      <c r="G440" s="486"/>
      <c r="H440" s="489"/>
      <c r="I440" s="2"/>
    </row>
    <row r="441" spans="1:10" x14ac:dyDescent="0.25">
      <c r="A441" s="2"/>
      <c r="B441" s="483"/>
      <c r="C441" s="484"/>
      <c r="D441" s="462"/>
      <c r="E441" s="465"/>
      <c r="F441" s="468"/>
      <c r="G441" s="487"/>
      <c r="H441" s="490"/>
      <c r="I441" s="2"/>
      <c r="J441" s="54"/>
    </row>
    <row r="442" spans="1:10" x14ac:dyDescent="0.25">
      <c r="A442" s="2"/>
      <c r="B442" s="622" t="s">
        <v>690</v>
      </c>
      <c r="C442" s="623"/>
      <c r="D442" s="623"/>
      <c r="E442" s="623"/>
      <c r="F442" s="624"/>
      <c r="G442" s="618" t="s">
        <v>24</v>
      </c>
      <c r="H442" s="620">
        <f>H433+H436+H439</f>
        <v>22744.566725109307</v>
      </c>
      <c r="I442" s="2"/>
    </row>
    <row r="443" spans="1:10" x14ac:dyDescent="0.25">
      <c r="A443" s="2"/>
      <c r="B443" s="87"/>
      <c r="C443" s="720" t="s">
        <v>400</v>
      </c>
      <c r="D443" s="720"/>
      <c r="E443" s="90" t="str">
        <f>E151</f>
        <v>Sin IGV</v>
      </c>
      <c r="F443" s="91"/>
      <c r="G443" s="619"/>
      <c r="H443" s="621"/>
      <c r="I443" s="2"/>
    </row>
    <row r="444" spans="1:10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10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10" ht="15.75" x14ac:dyDescent="0.25">
      <c r="A446" s="397" t="s">
        <v>691</v>
      </c>
      <c r="B446" s="398"/>
      <c r="C446" s="398"/>
      <c r="D446" s="398"/>
      <c r="E446" s="398"/>
      <c r="F446" s="394"/>
      <c r="G446" s="2"/>
      <c r="H446" s="2"/>
      <c r="I446" s="2"/>
    </row>
    <row r="447" spans="1:10" ht="15.75" x14ac:dyDescent="0.25">
      <c r="A447" s="153"/>
      <c r="B447" s="153"/>
      <c r="C447" s="153"/>
      <c r="D447" s="153"/>
      <c r="E447" s="2"/>
      <c r="F447" s="2"/>
      <c r="G447" s="2"/>
      <c r="H447" s="2"/>
      <c r="I447" s="2"/>
    </row>
    <row r="448" spans="1:10" ht="15.75" customHeight="1" x14ac:dyDescent="0.25">
      <c r="A448" s="2"/>
      <c r="B448" s="2"/>
      <c r="C448" s="455" t="s">
        <v>171</v>
      </c>
      <c r="D448" s="455"/>
      <c r="E448" s="456" t="str">
        <f>E428</f>
        <v>MAYOR A 50 UIT</v>
      </c>
      <c r="F448" s="456"/>
      <c r="G448" s="31"/>
      <c r="H448" s="31"/>
      <c r="I448" s="31"/>
      <c r="J448" s="154"/>
    </row>
    <row r="449" spans="1:12" ht="15.75" customHeight="1" x14ac:dyDescent="0.25">
      <c r="A449" s="2"/>
      <c r="B449" s="2"/>
      <c r="C449" s="455" t="s">
        <v>172</v>
      </c>
      <c r="D449" s="455"/>
      <c r="E449" s="6" t="str">
        <f>E429</f>
        <v>SIN IGV</v>
      </c>
      <c r="F449" s="25"/>
      <c r="G449" s="2"/>
      <c r="H449" s="2"/>
      <c r="I449" s="2"/>
      <c r="K449" s="154"/>
      <c r="L449" s="154"/>
    </row>
    <row r="450" spans="1:12" ht="15.75" customHeight="1" x14ac:dyDescent="0.25">
      <c r="A450" s="2"/>
      <c r="B450" s="2"/>
      <c r="C450" s="77"/>
      <c r="D450" s="77"/>
      <c r="E450" s="4"/>
      <c r="F450" s="2"/>
      <c r="G450" s="2"/>
      <c r="H450" s="2"/>
      <c r="I450" s="2"/>
    </row>
    <row r="451" spans="1:12" ht="15" customHeight="1" x14ac:dyDescent="0.25">
      <c r="A451" s="2"/>
      <c r="B451" s="2"/>
      <c r="C451" s="448" t="s">
        <v>72</v>
      </c>
      <c r="D451" s="457"/>
      <c r="E451" s="458" t="s">
        <v>87</v>
      </c>
      <c r="F451" s="459"/>
      <c r="G451" s="2"/>
      <c r="H451" s="2"/>
      <c r="I451" s="2"/>
    </row>
    <row r="452" spans="1:12" x14ac:dyDescent="0.25">
      <c r="A452" s="2"/>
      <c r="B452" s="2"/>
      <c r="C452" s="446" t="s">
        <v>39</v>
      </c>
      <c r="D452" s="447"/>
      <c r="E452" s="92">
        <f>F237</f>
        <v>255.41249999999999</v>
      </c>
      <c r="F452" s="93" t="s">
        <v>35</v>
      </c>
      <c r="G452" s="2"/>
      <c r="H452" s="2"/>
      <c r="I452" s="2"/>
    </row>
    <row r="453" spans="1:12" ht="15.75" x14ac:dyDescent="0.25">
      <c r="A453" s="2"/>
      <c r="B453" s="2"/>
      <c r="C453" s="446" t="s">
        <v>236</v>
      </c>
      <c r="D453" s="447"/>
      <c r="E453" s="92">
        <f>F238</f>
        <v>13.65</v>
      </c>
      <c r="F453" s="93" t="s">
        <v>88</v>
      </c>
      <c r="G453" s="2"/>
      <c r="H453" s="2"/>
      <c r="I453" s="2"/>
    </row>
    <row r="454" spans="1:12" ht="15.75" x14ac:dyDescent="0.25">
      <c r="A454" s="2"/>
      <c r="B454" s="2"/>
      <c r="C454" s="446" t="s">
        <v>237</v>
      </c>
      <c r="D454" s="447"/>
      <c r="E454" s="92">
        <f>F239</f>
        <v>13.9125</v>
      </c>
      <c r="F454" s="93" t="s">
        <v>88</v>
      </c>
      <c r="G454" s="2"/>
      <c r="H454" s="2"/>
      <c r="I454" s="2"/>
    </row>
    <row r="455" spans="1:12" ht="15.75" x14ac:dyDescent="0.25">
      <c r="A455" s="2"/>
      <c r="B455" s="2"/>
      <c r="C455" s="446" t="s">
        <v>89</v>
      </c>
      <c r="D455" s="447"/>
      <c r="E455" s="250">
        <f>F240</f>
        <v>4.8825000000000003</v>
      </c>
      <c r="F455" s="95" t="s">
        <v>88</v>
      </c>
      <c r="G455" s="2"/>
      <c r="H455" s="2"/>
      <c r="I455" s="2"/>
    </row>
    <row r="456" spans="1:12" x14ac:dyDescent="0.25">
      <c r="A456" s="2"/>
      <c r="B456" s="2"/>
      <c r="C456" s="446" t="str">
        <f>IF(G48="NO","Gasolina de 84 octanos",IF(AND(G48="SI"),"-"))</f>
        <v>Gasolina de 84 octanos</v>
      </c>
      <c r="D456" s="447"/>
      <c r="E456" s="251">
        <f>IF(G48="NO",E45*E224,IF(AND(G48="SI"),0))</f>
        <v>7.875</v>
      </c>
      <c r="F456" s="95" t="str">
        <f>IF(G48="NO","galones",IF(AND(G48="SI"),"-"))</f>
        <v>galones</v>
      </c>
      <c r="G456" s="2"/>
      <c r="H456" s="179"/>
      <c r="I456" s="2"/>
    </row>
    <row r="457" spans="1:12" x14ac:dyDescent="0.25">
      <c r="A457" s="2"/>
      <c r="B457" s="2"/>
      <c r="C457" s="453" t="str">
        <f>IF(G49="NO","Grasa multipropósitos",IF(AND(G49="SI"),"-"))</f>
        <v>Grasa multipropósitos</v>
      </c>
      <c r="D457" s="454"/>
      <c r="E457" s="251">
        <f>IF(G49="NO",E46*E224,IF(AND(G49="SI"),0))</f>
        <v>0.21</v>
      </c>
      <c r="F457" s="95" t="str">
        <f>IF(G49="NO","kg",IF(AND(G49="SI"),"-"))</f>
        <v>kg</v>
      </c>
      <c r="G457" s="2"/>
      <c r="H457" s="179"/>
      <c r="I457" s="2"/>
    </row>
    <row r="458" spans="1:12" x14ac:dyDescent="0.25">
      <c r="A458" s="2"/>
      <c r="B458" s="2"/>
      <c r="C458" s="252" t="str">
        <f>B132</f>
        <v>-</v>
      </c>
      <c r="D458" s="253" t="str">
        <f>C132</f>
        <v>-</v>
      </c>
      <c r="E458" s="251">
        <f>F298</f>
        <v>0</v>
      </c>
      <c r="F458" s="95" t="str">
        <f>IF(F80="si","varillas",IF(AND(F80="no"),"-"))</f>
        <v>-</v>
      </c>
      <c r="G458" s="2"/>
      <c r="H458" s="2"/>
      <c r="I458" s="2"/>
    </row>
    <row r="459" spans="1:12" x14ac:dyDescent="0.25">
      <c r="A459" s="2"/>
      <c r="B459" s="2"/>
      <c r="C459" s="252" t="str">
        <f t="shared" ref="C459:D464" si="11">B133</f>
        <v>Acero de</v>
      </c>
      <c r="D459" s="253" t="str">
        <f t="shared" si="11"/>
        <v>8 mm</v>
      </c>
      <c r="E459" s="251">
        <f>F299</f>
        <v>72.433192686357231</v>
      </c>
      <c r="F459" s="95" t="str">
        <f>IF(F81="si","varillas",IF(AND(F81="no"),"-"))</f>
        <v>varillas</v>
      </c>
      <c r="G459" s="2"/>
      <c r="H459" s="2"/>
      <c r="I459" s="2"/>
    </row>
    <row r="460" spans="1:12" x14ac:dyDescent="0.25">
      <c r="A460" s="2"/>
      <c r="B460" s="2"/>
      <c r="C460" s="252" t="str">
        <f t="shared" si="11"/>
        <v>Acero de</v>
      </c>
      <c r="D460" s="253" t="str">
        <f t="shared" si="11"/>
        <v>3/8"</v>
      </c>
      <c r="E460" s="251">
        <f t="shared" ref="E460:E464" si="12">F300</f>
        <v>67.803710353081982</v>
      </c>
      <c r="F460" s="95" t="str">
        <f>IF(F70="si","varillas",IF(AND(F82="si"),"varillas",IF(AND(F70="no"),"-",IF(AND(F82="no"),"-"))))</f>
        <v>varillas</v>
      </c>
      <c r="G460" s="2"/>
      <c r="H460" s="2"/>
      <c r="I460" s="2"/>
    </row>
    <row r="461" spans="1:12" x14ac:dyDescent="0.25">
      <c r="A461" s="2"/>
      <c r="B461" s="2"/>
      <c r="C461" s="252" t="str">
        <f t="shared" si="11"/>
        <v>Acero de</v>
      </c>
      <c r="D461" s="253" t="str">
        <f t="shared" si="11"/>
        <v>1/2"</v>
      </c>
      <c r="E461" s="251">
        <f t="shared" si="12"/>
        <v>37.558685446009392</v>
      </c>
      <c r="F461" s="95" t="str">
        <f>IF(F71="si","varillas",IF(AND(F71="no"),"-"))</f>
        <v>varillas</v>
      </c>
      <c r="G461" s="2"/>
      <c r="H461" s="2"/>
      <c r="I461" s="2"/>
    </row>
    <row r="462" spans="1:12" x14ac:dyDescent="0.25">
      <c r="A462" s="2"/>
      <c r="B462" s="2"/>
      <c r="C462" s="252" t="str">
        <f t="shared" si="11"/>
        <v>Acero de</v>
      </c>
      <c r="D462" s="253" t="str">
        <f t="shared" si="11"/>
        <v>5/8"</v>
      </c>
      <c r="E462" s="251">
        <f t="shared" si="12"/>
        <v>15.320733104238258</v>
      </c>
      <c r="F462" s="95" t="str">
        <f>IF(F72="si","varillas",IF(AND(F72="no"),"-"))</f>
        <v>varillas</v>
      </c>
      <c r="G462" s="2"/>
      <c r="H462" s="2"/>
      <c r="I462" s="2"/>
    </row>
    <row r="463" spans="1:12" x14ac:dyDescent="0.25">
      <c r="A463" s="2"/>
      <c r="B463" s="2"/>
      <c r="C463" s="252" t="str">
        <f t="shared" si="11"/>
        <v>-</v>
      </c>
      <c r="D463" s="253" t="str">
        <f t="shared" si="11"/>
        <v>-</v>
      </c>
      <c r="E463" s="251">
        <f t="shared" si="12"/>
        <v>0</v>
      </c>
      <c r="F463" s="95" t="str">
        <f>IF(F73="si","varillas",IF(AND(F73="no"),"-"))</f>
        <v>-</v>
      </c>
      <c r="G463" s="2"/>
      <c r="H463" s="2"/>
      <c r="I463" s="2"/>
    </row>
    <row r="464" spans="1:12" x14ac:dyDescent="0.25">
      <c r="A464" s="2"/>
      <c r="B464" s="2"/>
      <c r="C464" s="252" t="str">
        <f t="shared" si="11"/>
        <v>-</v>
      </c>
      <c r="D464" s="253" t="str">
        <f t="shared" si="11"/>
        <v>-</v>
      </c>
      <c r="E464" s="251">
        <f t="shared" si="12"/>
        <v>0</v>
      </c>
      <c r="F464" s="95" t="str">
        <f>IF(F74="si","varillas",IF(AND(F74="no"),"-"))</f>
        <v>-</v>
      </c>
      <c r="G464" s="2"/>
      <c r="H464" s="2"/>
      <c r="I464" s="2"/>
    </row>
    <row r="465" spans="1:9" x14ac:dyDescent="0.25">
      <c r="A465" s="2"/>
      <c r="B465" s="2"/>
      <c r="C465" s="446" t="s">
        <v>275</v>
      </c>
      <c r="D465" s="447"/>
      <c r="E465" s="251">
        <f>F305</f>
        <v>57.75</v>
      </c>
      <c r="F465" s="95" t="s">
        <v>169</v>
      </c>
      <c r="G465" s="2"/>
      <c r="H465" s="2"/>
      <c r="I465" s="2"/>
    </row>
    <row r="466" spans="1:9" x14ac:dyDescent="0.25">
      <c r="A466" s="2"/>
      <c r="B466" s="2"/>
      <c r="C466" s="446" t="s">
        <v>276</v>
      </c>
      <c r="D466" s="447"/>
      <c r="E466" s="251">
        <f>F255</f>
        <v>17.64</v>
      </c>
      <c r="F466" s="95" t="s">
        <v>169</v>
      </c>
      <c r="G466" s="2"/>
      <c r="H466" s="2"/>
      <c r="I466" s="2"/>
    </row>
    <row r="467" spans="1:9" ht="18.75" x14ac:dyDescent="0.3">
      <c r="A467" s="2"/>
      <c r="B467" s="2"/>
      <c r="C467" s="579" t="s">
        <v>239</v>
      </c>
      <c r="D467" s="629"/>
      <c r="E467" s="251">
        <f>F253</f>
        <v>454.44</v>
      </c>
      <c r="F467" s="95" t="s">
        <v>320</v>
      </c>
      <c r="G467" s="2"/>
      <c r="H467" s="2"/>
      <c r="I467" s="2"/>
    </row>
    <row r="468" spans="1:9" x14ac:dyDescent="0.25">
      <c r="A468" s="2"/>
      <c r="B468" s="2"/>
      <c r="C468" s="446" t="s">
        <v>240</v>
      </c>
      <c r="D468" s="447"/>
      <c r="E468" s="251">
        <f>F254</f>
        <v>20.16</v>
      </c>
      <c r="F468" s="95" t="s">
        <v>169</v>
      </c>
      <c r="G468" s="2"/>
      <c r="H468" s="2"/>
      <c r="I468" s="2"/>
    </row>
    <row r="469" spans="1:9" x14ac:dyDescent="0.25">
      <c r="A469" s="2"/>
      <c r="B469" s="2"/>
      <c r="C469" s="448" t="s">
        <v>65</v>
      </c>
      <c r="D469" s="449"/>
      <c r="E469" s="450" t="s">
        <v>87</v>
      </c>
      <c r="F469" s="451"/>
      <c r="G469" s="2"/>
      <c r="H469" s="2"/>
      <c r="I469" s="2"/>
    </row>
    <row r="470" spans="1:9" x14ac:dyDescent="0.25">
      <c r="A470" s="2"/>
      <c r="B470" s="2"/>
      <c r="C470" s="446" t="s">
        <v>11</v>
      </c>
      <c r="D470" s="447"/>
      <c r="E470" s="156">
        <f>G319*E433+G330*E436+G340*E439</f>
        <v>11.424761904761905</v>
      </c>
      <c r="F470" s="157" t="s">
        <v>177</v>
      </c>
      <c r="G470" s="2"/>
      <c r="H470" s="2"/>
      <c r="I470" s="2"/>
    </row>
    <row r="471" spans="1:9" x14ac:dyDescent="0.25">
      <c r="A471" s="2"/>
      <c r="B471" s="2"/>
      <c r="C471" s="446" t="s">
        <v>12</v>
      </c>
      <c r="D471" s="447"/>
      <c r="E471" s="156">
        <f>G320*E433+G331*E436+G341*E439</f>
        <v>114.24761904761904</v>
      </c>
      <c r="F471" s="157" t="s">
        <v>177</v>
      </c>
      <c r="G471" s="2"/>
      <c r="H471" s="2"/>
      <c r="I471" s="2"/>
    </row>
    <row r="472" spans="1:9" x14ac:dyDescent="0.25">
      <c r="A472" s="2"/>
      <c r="B472" s="2"/>
      <c r="C472" s="446" t="s">
        <v>13</v>
      </c>
      <c r="D472" s="447"/>
      <c r="E472" s="156">
        <f>G321*E433+G332*E436+G342*E439</f>
        <v>114.24761904761904</v>
      </c>
      <c r="F472" s="157" t="s">
        <v>177</v>
      </c>
      <c r="G472" s="2"/>
      <c r="H472" s="2"/>
      <c r="I472" s="2"/>
    </row>
    <row r="473" spans="1:9" x14ac:dyDescent="0.25">
      <c r="A473" s="2"/>
      <c r="B473" s="2"/>
      <c r="C473" s="446" t="s">
        <v>14</v>
      </c>
      <c r="D473" s="447"/>
      <c r="E473" s="156">
        <f>G322*E433+G333*E436+G343*E439</f>
        <v>191.39047619047619</v>
      </c>
      <c r="F473" s="157" t="s">
        <v>177</v>
      </c>
      <c r="G473" s="2"/>
      <c r="H473" s="2"/>
      <c r="I473" s="2"/>
    </row>
    <row r="474" spans="1:9" x14ac:dyDescent="0.25">
      <c r="A474" s="2"/>
      <c r="B474" s="2"/>
      <c r="C474" s="446" t="s">
        <v>25</v>
      </c>
      <c r="D474" s="447"/>
      <c r="E474" s="156">
        <f>G323*E433</f>
        <v>16.666666666666664</v>
      </c>
      <c r="F474" s="157" t="s">
        <v>177</v>
      </c>
      <c r="G474" s="2"/>
      <c r="H474" s="2"/>
      <c r="I474" s="2"/>
    </row>
    <row r="475" spans="1:9" x14ac:dyDescent="0.25">
      <c r="A475" s="2"/>
      <c r="B475" s="2"/>
      <c r="C475" s="448" t="s">
        <v>277</v>
      </c>
      <c r="D475" s="449"/>
      <c r="E475" s="450" t="s">
        <v>87</v>
      </c>
      <c r="F475" s="451"/>
      <c r="G475" s="2"/>
      <c r="H475" s="2"/>
      <c r="I475" s="2"/>
    </row>
    <row r="476" spans="1:9" x14ac:dyDescent="0.25">
      <c r="A476" s="2"/>
      <c r="B476" s="2"/>
      <c r="C476" s="452" t="s">
        <v>241</v>
      </c>
      <c r="D476" s="534"/>
      <c r="E476" s="156">
        <f>G353*E433</f>
        <v>16.666666666666664</v>
      </c>
      <c r="F476" s="157" t="s">
        <v>178</v>
      </c>
      <c r="G476" s="2"/>
      <c r="H476" s="2"/>
      <c r="I476" s="2"/>
    </row>
    <row r="477" spans="1:9" x14ac:dyDescent="0.25">
      <c r="A477" s="2"/>
      <c r="B477" s="2"/>
      <c r="C477" s="452" t="s">
        <v>299</v>
      </c>
      <c r="D477" s="452"/>
      <c r="E477" s="156">
        <f>G355*E433</f>
        <v>16.666666666666664</v>
      </c>
      <c r="F477" s="157" t="s">
        <v>178</v>
      </c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</sheetData>
  <mergeCells count="303">
    <mergeCell ref="B1:G2"/>
    <mergeCell ref="A14:C14"/>
    <mergeCell ref="C21:H21"/>
    <mergeCell ref="C22:C23"/>
    <mergeCell ref="D22:D23"/>
    <mergeCell ref="E22:H22"/>
    <mergeCell ref="C56:C57"/>
    <mergeCell ref="D56:E56"/>
    <mergeCell ref="F56:H56"/>
    <mergeCell ref="F67:H68"/>
    <mergeCell ref="B69:B72"/>
    <mergeCell ref="D70:E70"/>
    <mergeCell ref="D71:E71"/>
    <mergeCell ref="D72:E72"/>
    <mergeCell ref="B27:B31"/>
    <mergeCell ref="G31:H32"/>
    <mergeCell ref="B39:B41"/>
    <mergeCell ref="G45:H46"/>
    <mergeCell ref="H48:I49"/>
    <mergeCell ref="C55:H55"/>
    <mergeCell ref="H85:H87"/>
    <mergeCell ref="H91:H93"/>
    <mergeCell ref="B98:G98"/>
    <mergeCell ref="A99:A100"/>
    <mergeCell ref="B99:C100"/>
    <mergeCell ref="D99:H99"/>
    <mergeCell ref="D73:E73"/>
    <mergeCell ref="D74:E74"/>
    <mergeCell ref="F77:H77"/>
    <mergeCell ref="D80:E80"/>
    <mergeCell ref="D81:E81"/>
    <mergeCell ref="D82:E82"/>
    <mergeCell ref="A105:A106"/>
    <mergeCell ref="B105:B106"/>
    <mergeCell ref="C105:C106"/>
    <mergeCell ref="D105:D106"/>
    <mergeCell ref="E105:E106"/>
    <mergeCell ref="F105:F106"/>
    <mergeCell ref="G101:G102"/>
    <mergeCell ref="H101:H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A101:A102"/>
    <mergeCell ref="B101:B102"/>
    <mergeCell ref="C101:C102"/>
    <mergeCell ref="D101:D102"/>
    <mergeCell ref="E101:E102"/>
    <mergeCell ref="F101:F102"/>
    <mergeCell ref="B126:C126"/>
    <mergeCell ref="B127:C127"/>
    <mergeCell ref="B128:C128"/>
    <mergeCell ref="B129:C129"/>
    <mergeCell ref="B130:C130"/>
    <mergeCell ref="B131:C131"/>
    <mergeCell ref="G105:G106"/>
    <mergeCell ref="H105:H106"/>
    <mergeCell ref="H112:H115"/>
    <mergeCell ref="G118:H118"/>
    <mergeCell ref="D121:G121"/>
    <mergeCell ref="B125:C125"/>
    <mergeCell ref="E125:F125"/>
    <mergeCell ref="G125:H125"/>
    <mergeCell ref="G146:H146"/>
    <mergeCell ref="B147:C147"/>
    <mergeCell ref="B148:C148"/>
    <mergeCell ref="B151:D151"/>
    <mergeCell ref="F151:G152"/>
    <mergeCell ref="B157:G157"/>
    <mergeCell ref="B139:C139"/>
    <mergeCell ref="B140:C140"/>
    <mergeCell ref="B141:C141"/>
    <mergeCell ref="B142:C142"/>
    <mergeCell ref="B146:C146"/>
    <mergeCell ref="E146:F146"/>
    <mergeCell ref="B167:D167"/>
    <mergeCell ref="B168:D168"/>
    <mergeCell ref="B169:D169"/>
    <mergeCell ref="B170:D170"/>
    <mergeCell ref="B171:D171"/>
    <mergeCell ref="B173:G173"/>
    <mergeCell ref="B158:G158"/>
    <mergeCell ref="B159:D159"/>
    <mergeCell ref="B160:D160"/>
    <mergeCell ref="B161:D161"/>
    <mergeCell ref="B165:C165"/>
    <mergeCell ref="B166:C166"/>
    <mergeCell ref="C201:D201"/>
    <mergeCell ref="B202:B205"/>
    <mergeCell ref="C202:D202"/>
    <mergeCell ref="C203:D203"/>
    <mergeCell ref="C204:D204"/>
    <mergeCell ref="C205:D205"/>
    <mergeCell ref="B179:D179"/>
    <mergeCell ref="B180:D180"/>
    <mergeCell ref="B181:G181"/>
    <mergeCell ref="B185:C185"/>
    <mergeCell ref="E185:F186"/>
    <mergeCell ref="G191:H193"/>
    <mergeCell ref="C223:E223"/>
    <mergeCell ref="C224:D224"/>
    <mergeCell ref="C228:E228"/>
    <mergeCell ref="B235:H235"/>
    <mergeCell ref="C246:G246"/>
    <mergeCell ref="B251:H251"/>
    <mergeCell ref="C208:D208"/>
    <mergeCell ref="C209:D209"/>
    <mergeCell ref="C210:D210"/>
    <mergeCell ref="A214:C214"/>
    <mergeCell ref="C220:D220"/>
    <mergeCell ref="B222:G222"/>
    <mergeCell ref="C268:D268"/>
    <mergeCell ref="C269:D269"/>
    <mergeCell ref="C270:D270"/>
    <mergeCell ref="C271:D271"/>
    <mergeCell ref="C272:D272"/>
    <mergeCell ref="C276:D276"/>
    <mergeCell ref="D252:E252"/>
    <mergeCell ref="C261:G261"/>
    <mergeCell ref="C263:D263"/>
    <mergeCell ref="C265:G265"/>
    <mergeCell ref="C266:D266"/>
    <mergeCell ref="C267:D267"/>
    <mergeCell ref="C286:D286"/>
    <mergeCell ref="B290:H290"/>
    <mergeCell ref="D291:E291"/>
    <mergeCell ref="D292:E292"/>
    <mergeCell ref="C298:D298"/>
    <mergeCell ref="C299:D299"/>
    <mergeCell ref="C277:D277"/>
    <mergeCell ref="C278:D278"/>
    <mergeCell ref="C279:D279"/>
    <mergeCell ref="C280:D280"/>
    <mergeCell ref="C284:D284"/>
    <mergeCell ref="C285:D285"/>
    <mergeCell ref="A309:D309"/>
    <mergeCell ref="D313:E313"/>
    <mergeCell ref="C316:D316"/>
    <mergeCell ref="C317:D318"/>
    <mergeCell ref="E317:E318"/>
    <mergeCell ref="F317:F318"/>
    <mergeCell ref="C300:D300"/>
    <mergeCell ref="C301:D301"/>
    <mergeCell ref="C302:D302"/>
    <mergeCell ref="C303:D303"/>
    <mergeCell ref="C304:D304"/>
    <mergeCell ref="C305:D305"/>
    <mergeCell ref="C330:D333"/>
    <mergeCell ref="C337:D337"/>
    <mergeCell ref="C338:D339"/>
    <mergeCell ref="E338:E339"/>
    <mergeCell ref="F338:F339"/>
    <mergeCell ref="G338:G339"/>
    <mergeCell ref="G317:G318"/>
    <mergeCell ref="C319:D320"/>
    <mergeCell ref="C322:D322"/>
    <mergeCell ref="C323:D323"/>
    <mergeCell ref="C327:D327"/>
    <mergeCell ref="C328:D329"/>
    <mergeCell ref="E328:E329"/>
    <mergeCell ref="F328:F329"/>
    <mergeCell ref="G328:G329"/>
    <mergeCell ref="G353:G354"/>
    <mergeCell ref="E355:E356"/>
    <mergeCell ref="F355:F356"/>
    <mergeCell ref="G355:G356"/>
    <mergeCell ref="C356:D356"/>
    <mergeCell ref="C340:D343"/>
    <mergeCell ref="C350:D350"/>
    <mergeCell ref="C351:D352"/>
    <mergeCell ref="E351:E352"/>
    <mergeCell ref="F351:F352"/>
    <mergeCell ref="G351:G352"/>
    <mergeCell ref="C363:D363"/>
    <mergeCell ref="E363:F363"/>
    <mergeCell ref="C364:D364"/>
    <mergeCell ref="A367:B367"/>
    <mergeCell ref="C367:E367"/>
    <mergeCell ref="A370:B370"/>
    <mergeCell ref="C353:D354"/>
    <mergeCell ref="E353:E354"/>
    <mergeCell ref="F353:F354"/>
    <mergeCell ref="G370:H370"/>
    <mergeCell ref="A371:H371"/>
    <mergeCell ref="A372:B372"/>
    <mergeCell ref="G372:G376"/>
    <mergeCell ref="H372:H376"/>
    <mergeCell ref="A373:B373"/>
    <mergeCell ref="A374:B374"/>
    <mergeCell ref="A375:B375"/>
    <mergeCell ref="A376:B376"/>
    <mergeCell ref="A384:H384"/>
    <mergeCell ref="A385:B385"/>
    <mergeCell ref="G385:G387"/>
    <mergeCell ref="H385:H387"/>
    <mergeCell ref="A386:B386"/>
    <mergeCell ref="A387:B387"/>
    <mergeCell ref="A377:H377"/>
    <mergeCell ref="A378:B378"/>
    <mergeCell ref="G378:G383"/>
    <mergeCell ref="H378:H383"/>
    <mergeCell ref="A379:B379"/>
    <mergeCell ref="A380:B380"/>
    <mergeCell ref="A381:B381"/>
    <mergeCell ref="A382:B382"/>
    <mergeCell ref="A383:B383"/>
    <mergeCell ref="A400:H400"/>
    <mergeCell ref="A401:B401"/>
    <mergeCell ref="G401:G403"/>
    <mergeCell ref="H401:H403"/>
    <mergeCell ref="A402:B402"/>
    <mergeCell ref="A403:B403"/>
    <mergeCell ref="A391:B391"/>
    <mergeCell ref="A394:B394"/>
    <mergeCell ref="G394:H394"/>
    <mergeCell ref="A395:H395"/>
    <mergeCell ref="A396:B396"/>
    <mergeCell ref="G396:G399"/>
    <mergeCell ref="H396:H399"/>
    <mergeCell ref="A397:B397"/>
    <mergeCell ref="A398:B398"/>
    <mergeCell ref="A399:B399"/>
    <mergeCell ref="A414:B414"/>
    <mergeCell ref="G414:G417"/>
    <mergeCell ref="H414:H417"/>
    <mergeCell ref="A415:B415"/>
    <mergeCell ref="A416:B416"/>
    <mergeCell ref="A417:B417"/>
    <mergeCell ref="A404:H404"/>
    <mergeCell ref="A405:B405"/>
    <mergeCell ref="A409:B409"/>
    <mergeCell ref="A412:B412"/>
    <mergeCell ref="G412:H412"/>
    <mergeCell ref="A413:H413"/>
    <mergeCell ref="A422:B422"/>
    <mergeCell ref="C428:D428"/>
    <mergeCell ref="E428:F428"/>
    <mergeCell ref="C429:D429"/>
    <mergeCell ref="B431:C432"/>
    <mergeCell ref="D431:D432"/>
    <mergeCell ref="E431:E432"/>
    <mergeCell ref="F431:F432"/>
    <mergeCell ref="A418:H418"/>
    <mergeCell ref="A419:B419"/>
    <mergeCell ref="G419:G420"/>
    <mergeCell ref="H419:H420"/>
    <mergeCell ref="A420:B420"/>
    <mergeCell ref="A421:H421"/>
    <mergeCell ref="B436:C438"/>
    <mergeCell ref="D436:D438"/>
    <mergeCell ref="E436:E438"/>
    <mergeCell ref="F436:F438"/>
    <mergeCell ref="G436:G438"/>
    <mergeCell ref="H436:H438"/>
    <mergeCell ref="G431:H432"/>
    <mergeCell ref="B433:C433"/>
    <mergeCell ref="D433:D435"/>
    <mergeCell ref="E433:E435"/>
    <mergeCell ref="F433:F435"/>
    <mergeCell ref="G433:G435"/>
    <mergeCell ref="H433:H435"/>
    <mergeCell ref="B435:C435"/>
    <mergeCell ref="B442:F442"/>
    <mergeCell ref="G442:G443"/>
    <mergeCell ref="H442:H443"/>
    <mergeCell ref="C443:D443"/>
    <mergeCell ref="C448:D448"/>
    <mergeCell ref="E448:F448"/>
    <mergeCell ref="B439:C441"/>
    <mergeCell ref="D439:D441"/>
    <mergeCell ref="E439:E441"/>
    <mergeCell ref="F439:F441"/>
    <mergeCell ref="G439:G441"/>
    <mergeCell ref="H439:H441"/>
    <mergeCell ref="C455:D455"/>
    <mergeCell ref="C456:D456"/>
    <mergeCell ref="C457:D457"/>
    <mergeCell ref="C465:D465"/>
    <mergeCell ref="C466:D466"/>
    <mergeCell ref="C467:D467"/>
    <mergeCell ref="C449:D449"/>
    <mergeCell ref="C451:D451"/>
    <mergeCell ref="E451:F451"/>
    <mergeCell ref="C452:D452"/>
    <mergeCell ref="C453:D453"/>
    <mergeCell ref="C454:D454"/>
    <mergeCell ref="C473:D473"/>
    <mergeCell ref="C474:D474"/>
    <mergeCell ref="C475:D475"/>
    <mergeCell ref="E475:F475"/>
    <mergeCell ref="C476:D476"/>
    <mergeCell ref="C477:D477"/>
    <mergeCell ref="C468:D468"/>
    <mergeCell ref="C469:D469"/>
    <mergeCell ref="E469:F469"/>
    <mergeCell ref="C470:D470"/>
    <mergeCell ref="C471:D471"/>
    <mergeCell ref="C472:D472"/>
  </mergeCells>
  <dataValidations count="7">
    <dataValidation type="list" allowBlank="1" showInputMessage="1" showErrorMessage="1" sqref="E151" xr:uid="{00000000-0002-0000-0600-000000000000}">
      <formula1>$B$149:$B$150</formula1>
    </dataValidation>
    <dataValidation type="list" allowBlank="1" showInputMessage="1" showErrorMessage="1" sqref="D185" xr:uid="{00000000-0002-0000-0600-000001000000}">
      <formula1>$A$183:$A$184</formula1>
    </dataValidation>
    <dataValidation type="list" allowBlank="1" showInputMessage="1" showErrorMessage="1" sqref="G48:G49" xr:uid="{00000000-0002-0000-0600-000002000000}">
      <formula1>$B$45:$B$46</formula1>
    </dataValidation>
    <dataValidation type="list" allowBlank="1" showInputMessage="1" showErrorMessage="1" sqref="G50" xr:uid="{00000000-0002-0000-0600-000003000000}">
      <formula1>$B$48:$B$49</formula1>
    </dataValidation>
    <dataValidation type="list" allowBlank="1" showInputMessage="1" showErrorMessage="1" sqref="F70:F75 F80:F82" xr:uid="{00000000-0002-0000-0600-000004000000}">
      <formula1>$C$70:$C$71</formula1>
    </dataValidation>
    <dataValidation type="list" allowBlank="1" showInputMessage="1" showErrorMessage="1" sqref="F113:F114" xr:uid="{00000000-0002-0000-0600-000005000000}">
      <formula1>$B$113:$B$115</formula1>
    </dataValidation>
    <dataValidation type="list" allowBlank="1" showInputMessage="1" showErrorMessage="1" sqref="E31" xr:uid="{00000000-0002-0000-0600-000006000000}">
      <formula1>$C$24:$C$28</formula1>
    </dataValidation>
  </dataValidation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Q535"/>
  <sheetViews>
    <sheetView topLeftCell="A280" workbookViewId="0">
      <selection activeCell="K7" sqref="K7"/>
    </sheetView>
  </sheetViews>
  <sheetFormatPr baseColWidth="10" defaultRowHeight="15" x14ac:dyDescent="0.25"/>
  <cols>
    <col min="1" max="1" width="7.85546875" customWidth="1"/>
    <col min="2" max="2" width="10.42578125" customWidth="1"/>
    <col min="3" max="3" width="11.7109375" customWidth="1"/>
    <col min="4" max="4" width="13.140625" customWidth="1"/>
    <col min="5" max="6" width="13.42578125" customWidth="1"/>
    <col min="7" max="7" width="12" customWidth="1"/>
    <col min="8" max="8" width="10.85546875" customWidth="1"/>
  </cols>
  <sheetData>
    <row r="1" spans="1:8" ht="15" customHeight="1" x14ac:dyDescent="0.25">
      <c r="A1" s="1"/>
      <c r="B1" s="751" t="s">
        <v>841</v>
      </c>
      <c r="C1" s="752"/>
      <c r="D1" s="752"/>
      <c r="E1" s="752"/>
      <c r="F1" s="752"/>
      <c r="G1" s="753"/>
      <c r="H1" s="2"/>
    </row>
    <row r="2" spans="1:8" ht="15" customHeight="1" thickBot="1" x14ac:dyDescent="0.3">
      <c r="A2" s="3"/>
      <c r="B2" s="754"/>
      <c r="C2" s="755"/>
      <c r="D2" s="755"/>
      <c r="E2" s="755"/>
      <c r="F2" s="755"/>
      <c r="G2" s="756"/>
      <c r="H2" s="2"/>
    </row>
    <row r="3" spans="1:8" ht="15" customHeight="1" x14ac:dyDescent="0.25">
      <c r="A3" s="3"/>
      <c r="B3" s="163"/>
      <c r="C3" s="163"/>
      <c r="D3" s="163"/>
      <c r="E3" s="163"/>
      <c r="F3" s="163"/>
      <c r="G3" s="163"/>
      <c r="H3" s="2"/>
    </row>
    <row r="4" spans="1:8" ht="15" customHeight="1" x14ac:dyDescent="0.25">
      <c r="A4" s="3"/>
      <c r="B4" s="163"/>
      <c r="C4" s="163"/>
      <c r="D4" s="163"/>
      <c r="E4" s="163"/>
      <c r="F4" s="163"/>
      <c r="G4" s="163"/>
      <c r="H4" s="2"/>
    </row>
    <row r="5" spans="1:8" ht="15" customHeight="1" x14ac:dyDescent="0.25">
      <c r="A5" s="3"/>
      <c r="B5" s="163"/>
      <c r="C5" s="163"/>
      <c r="D5" s="163"/>
      <c r="E5" s="163"/>
      <c r="F5" s="163"/>
      <c r="G5" s="163"/>
      <c r="H5" s="2"/>
    </row>
    <row r="6" spans="1:8" ht="15" customHeight="1" x14ac:dyDescent="0.25">
      <c r="A6" s="3"/>
      <c r="B6" s="163"/>
      <c r="C6" s="163"/>
      <c r="D6" s="163"/>
      <c r="E6" s="163"/>
      <c r="F6" s="163"/>
      <c r="G6" s="163"/>
      <c r="H6" s="2"/>
    </row>
    <row r="7" spans="1:8" ht="15" customHeight="1" x14ac:dyDescent="0.25">
      <c r="A7" s="3"/>
      <c r="B7" s="163"/>
      <c r="C7" s="163"/>
      <c r="D7" s="163"/>
      <c r="E7" s="163"/>
      <c r="F7" s="163"/>
      <c r="G7" s="163"/>
      <c r="H7" s="2"/>
    </row>
    <row r="8" spans="1:8" ht="15" customHeight="1" x14ac:dyDescent="0.25">
      <c r="A8" s="3"/>
      <c r="B8" s="163"/>
      <c r="C8" s="163"/>
      <c r="D8" s="163"/>
      <c r="E8" s="163"/>
      <c r="F8" s="163"/>
      <c r="G8" s="163"/>
      <c r="H8" s="2"/>
    </row>
    <row r="9" spans="1:8" ht="15" customHeight="1" x14ac:dyDescent="0.25">
      <c r="A9" s="3"/>
      <c r="B9" s="163"/>
      <c r="C9" s="163"/>
      <c r="D9" s="163"/>
      <c r="E9" s="163"/>
      <c r="F9" s="163"/>
      <c r="G9" s="163"/>
      <c r="H9" s="2"/>
    </row>
    <row r="10" spans="1:8" ht="15" customHeight="1" x14ac:dyDescent="0.25">
      <c r="A10" s="3"/>
      <c r="B10" s="163"/>
      <c r="C10" s="163"/>
      <c r="D10" s="163"/>
      <c r="E10" s="163"/>
      <c r="F10" s="163"/>
      <c r="G10" s="163"/>
      <c r="H10" s="2"/>
    </row>
    <row r="11" spans="1:8" ht="15" customHeight="1" x14ac:dyDescent="0.25">
      <c r="A11" s="3"/>
      <c r="B11" s="163"/>
      <c r="C11" s="163"/>
      <c r="D11" s="163"/>
      <c r="E11" s="163"/>
      <c r="F11" s="163"/>
      <c r="G11" s="163"/>
      <c r="H11" s="2"/>
    </row>
    <row r="12" spans="1:8" ht="18.75" x14ac:dyDescent="0.3">
      <c r="A12" s="407" t="s">
        <v>721</v>
      </c>
      <c r="B12" s="408"/>
      <c r="C12" s="408"/>
      <c r="D12" s="409"/>
      <c r="E12" s="410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  <row r="15" spans="1:8" x14ac:dyDescent="0.25">
      <c r="A15" s="813" t="s">
        <v>722</v>
      </c>
      <c r="B15" s="813"/>
      <c r="C15" s="813"/>
      <c r="D15" s="2"/>
      <c r="E15" s="2"/>
      <c r="F15" s="2"/>
      <c r="G15" s="2"/>
      <c r="H15" s="2"/>
    </row>
    <row r="16" spans="1:8" x14ac:dyDescent="0.25">
      <c r="A16" s="2"/>
      <c r="B16" s="2"/>
      <c r="C16" s="2"/>
      <c r="D16" s="2"/>
      <c r="E16" s="2"/>
      <c r="F16" s="2"/>
      <c r="G16" s="2"/>
      <c r="H16" s="2"/>
    </row>
    <row r="17" spans="1:8" x14ac:dyDescent="0.25">
      <c r="A17" s="411" t="s">
        <v>723</v>
      </c>
      <c r="B17" s="239"/>
      <c r="C17" s="239"/>
      <c r="D17" s="239"/>
      <c r="E17" s="2"/>
      <c r="F17" s="2"/>
      <c r="G17" s="2"/>
      <c r="H17" s="2"/>
    </row>
    <row r="18" spans="1:8" x14ac:dyDescent="0.25">
      <c r="A18" s="22"/>
      <c r="B18" s="2"/>
      <c r="C18" s="2"/>
      <c r="D18" s="2"/>
      <c r="E18" s="2"/>
      <c r="F18" s="2"/>
      <c r="G18" s="2"/>
      <c r="H18" s="2"/>
    </row>
    <row r="19" spans="1:8" x14ac:dyDescent="0.25">
      <c r="A19" s="22"/>
      <c r="B19" s="2"/>
      <c r="C19" s="2"/>
      <c r="D19" s="22"/>
      <c r="E19" s="167" t="s">
        <v>323</v>
      </c>
      <c r="F19" s="2"/>
      <c r="G19" s="2"/>
      <c r="H19" s="2"/>
    </row>
    <row r="20" spans="1:8" x14ac:dyDescent="0.25">
      <c r="A20" s="22"/>
      <c r="B20" s="2"/>
      <c r="C20" s="2"/>
      <c r="D20" s="412"/>
      <c r="E20" s="412"/>
      <c r="F20" s="412"/>
      <c r="G20" s="412"/>
      <c r="H20" s="412"/>
    </row>
    <row r="21" spans="1:8" x14ac:dyDescent="0.25">
      <c r="A21" s="22"/>
      <c r="B21" s="413" t="s">
        <v>724</v>
      </c>
      <c r="C21" s="414"/>
      <c r="D21" s="415"/>
      <c r="E21" s="415"/>
      <c r="F21" s="415"/>
      <c r="G21" s="415"/>
      <c r="H21" s="415"/>
    </row>
    <row r="22" spans="1:8" x14ac:dyDescent="0.25">
      <c r="A22" s="22"/>
      <c r="B22" s="2"/>
      <c r="C22" s="6" t="s">
        <v>725</v>
      </c>
      <c r="D22" s="2"/>
      <c r="E22" s="17">
        <v>20</v>
      </c>
      <c r="F22" s="2" t="s">
        <v>337</v>
      </c>
      <c r="G22" s="529" t="s">
        <v>726</v>
      </c>
      <c r="H22" s="529"/>
    </row>
    <row r="23" spans="1:8" x14ac:dyDescent="0.25">
      <c r="A23" s="22"/>
      <c r="B23" s="2"/>
      <c r="C23" s="2"/>
      <c r="D23" s="2"/>
      <c r="E23" s="2"/>
      <c r="F23" s="2"/>
      <c r="G23" s="2"/>
      <c r="H23" s="2"/>
    </row>
    <row r="24" spans="1:8" x14ac:dyDescent="0.25">
      <c r="A24" s="22"/>
      <c r="B24" s="413" t="s">
        <v>727</v>
      </c>
      <c r="C24" s="414"/>
      <c r="D24" s="32"/>
      <c r="E24" s="2"/>
      <c r="F24" s="2"/>
      <c r="G24" s="2"/>
      <c r="H24" s="2"/>
    </row>
    <row r="25" spans="1:8" x14ac:dyDescent="0.25">
      <c r="A25" s="22"/>
      <c r="B25" s="2"/>
      <c r="C25" s="35" t="s">
        <v>728</v>
      </c>
      <c r="D25" s="2"/>
      <c r="E25" s="2"/>
      <c r="F25" s="2"/>
      <c r="G25" s="2"/>
      <c r="H25" s="32"/>
    </row>
    <row r="26" spans="1:8" x14ac:dyDescent="0.25">
      <c r="A26" s="22"/>
      <c r="B26" s="2"/>
      <c r="C26" s="35" t="s">
        <v>729</v>
      </c>
      <c r="D26" s="2"/>
      <c r="E26" s="2"/>
      <c r="F26" s="2"/>
      <c r="G26" s="2"/>
      <c r="H26" s="533" t="s">
        <v>730</v>
      </c>
    </row>
    <row r="27" spans="1:8" x14ac:dyDescent="0.25">
      <c r="A27" s="22"/>
      <c r="B27" s="2"/>
      <c r="C27" s="6" t="s">
        <v>731</v>
      </c>
      <c r="D27" s="35"/>
      <c r="E27" s="2"/>
      <c r="F27" s="825" t="s">
        <v>728</v>
      </c>
      <c r="G27" s="826"/>
      <c r="H27" s="824"/>
    </row>
    <row r="28" spans="1:8" x14ac:dyDescent="0.25">
      <c r="A28" s="22"/>
      <c r="B28" s="2"/>
      <c r="C28" s="2"/>
      <c r="D28" s="2"/>
      <c r="E28" s="2"/>
      <c r="F28" s="2"/>
      <c r="G28" s="2"/>
      <c r="H28" s="824"/>
    </row>
    <row r="29" spans="1:8" x14ac:dyDescent="0.25">
      <c r="A29" s="2"/>
      <c r="B29" s="2"/>
      <c r="C29" s="6" t="s">
        <v>732</v>
      </c>
      <c r="D29" s="2"/>
      <c r="E29" s="2"/>
      <c r="F29" s="2"/>
      <c r="G29" s="2"/>
      <c r="H29" s="2"/>
    </row>
    <row r="30" spans="1:8" ht="15" customHeight="1" x14ac:dyDescent="0.25">
      <c r="A30" s="2"/>
      <c r="B30" s="2"/>
      <c r="C30" s="2"/>
      <c r="D30" s="450" t="s">
        <v>733</v>
      </c>
      <c r="E30" s="821"/>
      <c r="F30" s="451"/>
      <c r="G30" s="822" t="s">
        <v>734</v>
      </c>
      <c r="H30" s="2"/>
    </row>
    <row r="31" spans="1:8" ht="15" customHeight="1" x14ac:dyDescent="0.25">
      <c r="A31" s="2"/>
      <c r="B31" s="416"/>
      <c r="C31" s="2"/>
      <c r="D31" s="177" t="s">
        <v>490</v>
      </c>
      <c r="E31" s="417" t="s">
        <v>491</v>
      </c>
      <c r="F31" s="417" t="s">
        <v>492</v>
      </c>
      <c r="G31" s="823"/>
      <c r="H31" s="2"/>
    </row>
    <row r="32" spans="1:8" x14ac:dyDescent="0.25">
      <c r="A32" s="2"/>
      <c r="B32" s="416"/>
      <c r="C32" s="2"/>
      <c r="D32" s="327">
        <v>30</v>
      </c>
      <c r="E32" s="327">
        <v>30</v>
      </c>
      <c r="F32" s="327">
        <f>G32-5</f>
        <v>12</v>
      </c>
      <c r="G32" s="327">
        <v>17</v>
      </c>
      <c r="H32" s="2"/>
    </row>
    <row r="33" spans="1:9" x14ac:dyDescent="0.25">
      <c r="A33" s="2"/>
      <c r="B33" s="545" t="s">
        <v>735</v>
      </c>
      <c r="C33" s="2"/>
      <c r="D33" s="327">
        <v>30</v>
      </c>
      <c r="E33" s="327">
        <v>30</v>
      </c>
      <c r="F33" s="327">
        <f t="shared" ref="F33:F34" si="0">G33-5</f>
        <v>15</v>
      </c>
      <c r="G33" s="327">
        <v>20</v>
      </c>
      <c r="H33" s="2"/>
    </row>
    <row r="34" spans="1:9" ht="15" customHeight="1" x14ac:dyDescent="0.25">
      <c r="A34" s="2"/>
      <c r="B34" s="545"/>
      <c r="C34" s="2"/>
      <c r="D34" s="327">
        <v>30</v>
      </c>
      <c r="E34" s="327">
        <v>30</v>
      </c>
      <c r="F34" s="327">
        <f t="shared" si="0"/>
        <v>20</v>
      </c>
      <c r="G34" s="327">
        <v>25</v>
      </c>
      <c r="H34" s="2"/>
    </row>
    <row r="35" spans="1:9" x14ac:dyDescent="0.25">
      <c r="A35" s="2"/>
      <c r="B35" s="545"/>
      <c r="C35" s="6"/>
      <c r="D35" s="19"/>
      <c r="E35" s="2"/>
      <c r="F35" s="2"/>
      <c r="G35" s="35">
        <f>IF(E22=G32,E32,IF(AND(E22=G33),E33,IF(AND(E22=G34),E34)))</f>
        <v>30</v>
      </c>
      <c r="H35" s="2"/>
      <c r="I35" s="2"/>
    </row>
    <row r="36" spans="1:9" x14ac:dyDescent="0.25">
      <c r="A36" s="2"/>
      <c r="B36" s="545"/>
      <c r="C36" s="2"/>
      <c r="D36" s="2"/>
      <c r="E36" s="2"/>
      <c r="F36" s="2"/>
      <c r="G36" s="35"/>
      <c r="H36" s="2"/>
    </row>
    <row r="37" spans="1:9" x14ac:dyDescent="0.25">
      <c r="A37" s="2"/>
      <c r="B37" s="2"/>
      <c r="C37" s="323"/>
      <c r="D37" s="2"/>
      <c r="E37" s="2"/>
      <c r="F37" s="104"/>
      <c r="G37" s="35"/>
      <c r="H37" s="2"/>
    </row>
    <row r="38" spans="1:9" x14ac:dyDescent="0.25">
      <c r="A38" s="2"/>
      <c r="B38" s="2"/>
      <c r="C38" s="2"/>
      <c r="D38" s="68">
        <f>IF(E22=G32,F32,IF(AND(E22=G33),F33,IF(AND(E22=G34),F34)))</f>
        <v>15</v>
      </c>
      <c r="E38" s="2"/>
      <c r="F38" s="34"/>
      <c r="G38" s="35"/>
      <c r="H38" s="2"/>
    </row>
    <row r="39" spans="1:9" x14ac:dyDescent="0.25">
      <c r="A39" s="2"/>
      <c r="B39" s="2"/>
      <c r="C39" s="2"/>
      <c r="D39" s="2"/>
      <c r="E39" s="323"/>
      <c r="F39" s="2"/>
      <c r="G39" s="35">
        <f>IF(E22=G32,D32,IF(AND(E22=G33),D33,IF(AND(E22=G34),D34)))</f>
        <v>30</v>
      </c>
      <c r="H39" s="2"/>
    </row>
    <row r="40" spans="1:9" x14ac:dyDescent="0.25">
      <c r="A40" s="2"/>
      <c r="B40" s="2"/>
      <c r="C40" s="2"/>
      <c r="D40" s="2"/>
      <c r="E40" s="2"/>
      <c r="F40" s="2"/>
      <c r="G40" s="2"/>
      <c r="H40" s="2"/>
    </row>
    <row r="41" spans="1:9" x14ac:dyDescent="0.25">
      <c r="A41" s="2"/>
      <c r="B41" s="2"/>
      <c r="C41" s="2"/>
      <c r="D41" s="2"/>
      <c r="E41" s="2"/>
      <c r="F41" s="2"/>
      <c r="G41" s="2"/>
      <c r="H41" s="2"/>
    </row>
    <row r="42" spans="1:9" x14ac:dyDescent="0.25">
      <c r="A42" s="2"/>
      <c r="B42" s="2"/>
      <c r="C42" s="6" t="s">
        <v>736</v>
      </c>
      <c r="D42" s="418"/>
      <c r="E42" s="418"/>
      <c r="F42" s="418"/>
      <c r="G42" s="418"/>
      <c r="H42" s="2"/>
    </row>
    <row r="43" spans="1:9" x14ac:dyDescent="0.25">
      <c r="A43" s="2"/>
      <c r="B43" s="2"/>
      <c r="C43" s="2"/>
      <c r="D43" s="450" t="s">
        <v>737</v>
      </c>
      <c r="E43" s="821"/>
      <c r="F43" s="451"/>
      <c r="G43" s="822" t="s">
        <v>734</v>
      </c>
      <c r="H43" s="2"/>
    </row>
    <row r="44" spans="1:9" x14ac:dyDescent="0.25">
      <c r="A44" s="2"/>
      <c r="B44" s="2"/>
      <c r="C44" s="2"/>
      <c r="D44" s="177" t="s">
        <v>490</v>
      </c>
      <c r="E44" s="417" t="s">
        <v>491</v>
      </c>
      <c r="F44" s="417" t="s">
        <v>492</v>
      </c>
      <c r="G44" s="823"/>
      <c r="H44" s="2"/>
    </row>
    <row r="45" spans="1:9" x14ac:dyDescent="0.25">
      <c r="A45" s="2"/>
      <c r="B45" s="2"/>
      <c r="C45" s="2"/>
      <c r="D45" s="419">
        <v>120</v>
      </c>
      <c r="E45" s="327">
        <v>30</v>
      </c>
      <c r="F45" s="327">
        <f>G45-5</f>
        <v>12</v>
      </c>
      <c r="G45" s="327">
        <v>17</v>
      </c>
      <c r="H45" s="2"/>
    </row>
    <row r="46" spans="1:9" x14ac:dyDescent="0.25">
      <c r="A46" s="2"/>
      <c r="B46" s="545" t="s">
        <v>738</v>
      </c>
      <c r="C46" s="2"/>
      <c r="D46" s="419">
        <v>120</v>
      </c>
      <c r="E46" s="327">
        <v>30</v>
      </c>
      <c r="F46" s="327">
        <f t="shared" ref="F46:F47" si="1">G46-5</f>
        <v>15</v>
      </c>
      <c r="G46" s="327">
        <v>20</v>
      </c>
      <c r="H46" s="2"/>
    </row>
    <row r="47" spans="1:9" ht="15" customHeight="1" x14ac:dyDescent="0.25">
      <c r="A47" s="2"/>
      <c r="B47" s="545"/>
      <c r="C47" s="2"/>
      <c r="D47" s="419">
        <v>120</v>
      </c>
      <c r="E47" s="327">
        <v>30</v>
      </c>
      <c r="F47" s="327">
        <f t="shared" si="1"/>
        <v>20</v>
      </c>
      <c r="G47" s="327">
        <v>25</v>
      </c>
      <c r="H47" s="2"/>
    </row>
    <row r="48" spans="1:9" x14ac:dyDescent="0.25">
      <c r="A48" s="2"/>
      <c r="B48" s="545"/>
      <c r="C48" s="2"/>
      <c r="D48" s="2"/>
      <c r="E48" s="2"/>
      <c r="F48" s="2"/>
      <c r="G48" s="35">
        <f>IF(E22=G45,E45,IF(AND(E22=G46),E46,IF(AND(E22=G47),E47)))</f>
        <v>30</v>
      </c>
      <c r="H48" s="2"/>
    </row>
    <row r="49" spans="1:8" x14ac:dyDescent="0.25">
      <c r="A49" s="2"/>
      <c r="B49" s="545"/>
      <c r="C49" s="2"/>
      <c r="D49" s="2"/>
      <c r="E49" s="2"/>
      <c r="F49" s="2"/>
      <c r="G49" s="2"/>
      <c r="H49" s="2"/>
    </row>
    <row r="50" spans="1:8" x14ac:dyDescent="0.25">
      <c r="A50" s="2"/>
      <c r="B50" s="545"/>
      <c r="C50" s="2"/>
      <c r="D50" s="2"/>
      <c r="E50" s="2"/>
      <c r="F50" s="2"/>
      <c r="G50" s="2"/>
      <c r="H50" s="2"/>
    </row>
    <row r="51" spans="1:8" x14ac:dyDescent="0.25">
      <c r="A51" s="2"/>
      <c r="B51" s="2"/>
      <c r="C51" s="2"/>
      <c r="D51" s="2"/>
      <c r="E51" s="2"/>
      <c r="F51" s="2"/>
      <c r="G51" s="2"/>
      <c r="H51" s="2"/>
    </row>
    <row r="52" spans="1:8" x14ac:dyDescent="0.25">
      <c r="A52" s="2"/>
      <c r="B52" s="2"/>
      <c r="C52" s="68">
        <f>IF(E22=G45,F45,IF(AND(E22=G46),F46,IF(AND(E22=G47),F47)))</f>
        <v>15</v>
      </c>
      <c r="D52" s="2"/>
      <c r="E52" s="2"/>
      <c r="F52" s="2"/>
      <c r="G52" s="68">
        <f>IF(E22=G45,D45,IF(AND(E22=G46),D46,IF(AND(E22=G47),D47)))</f>
        <v>120</v>
      </c>
      <c r="H52" s="2"/>
    </row>
    <row r="53" spans="1:8" x14ac:dyDescent="0.25">
      <c r="A53" s="2"/>
      <c r="B53" s="2"/>
      <c r="C53" s="2"/>
      <c r="D53" s="2"/>
      <c r="E53" s="2"/>
      <c r="F53" s="2"/>
      <c r="G53" s="2"/>
      <c r="H53" s="2"/>
    </row>
    <row r="54" spans="1:8" x14ac:dyDescent="0.25">
      <c r="A54" s="2"/>
      <c r="B54" s="2"/>
      <c r="C54" s="2"/>
      <c r="D54" s="2"/>
      <c r="E54" s="2"/>
      <c r="F54" s="2"/>
      <c r="G54" s="2"/>
      <c r="H54" s="2"/>
    </row>
    <row r="55" spans="1:8" x14ac:dyDescent="0.25">
      <c r="A55" s="2"/>
      <c r="B55" s="2"/>
      <c r="C55" s="2"/>
      <c r="D55" s="2"/>
      <c r="E55" s="2"/>
      <c r="F55" s="2"/>
      <c r="G55" s="2"/>
      <c r="H55" s="2"/>
    </row>
    <row r="56" spans="1:8" x14ac:dyDescent="0.25">
      <c r="A56" s="2"/>
      <c r="B56" s="2"/>
      <c r="C56" s="2"/>
      <c r="D56" s="2"/>
      <c r="E56" s="2"/>
      <c r="F56" s="2"/>
      <c r="G56" s="2"/>
      <c r="H56" s="2"/>
    </row>
    <row r="57" spans="1:8" x14ac:dyDescent="0.25">
      <c r="A57" s="2"/>
      <c r="B57" s="413" t="s">
        <v>184</v>
      </c>
      <c r="C57" s="414"/>
      <c r="D57" s="104" t="s">
        <v>185</v>
      </c>
      <c r="E57" s="2"/>
      <c r="F57" s="2"/>
      <c r="G57" s="2"/>
      <c r="H57" s="2"/>
    </row>
    <row r="58" spans="1:8" x14ac:dyDescent="0.25">
      <c r="A58" s="2"/>
      <c r="B58" s="22"/>
      <c r="C58" s="2"/>
      <c r="D58" s="104"/>
      <c r="E58" s="2"/>
      <c r="F58" s="2"/>
      <c r="G58" s="2"/>
      <c r="H58" s="2"/>
    </row>
    <row r="59" spans="1:8" x14ac:dyDescent="0.25">
      <c r="A59" s="2"/>
      <c r="B59" s="2"/>
      <c r="C59" s="537" t="s">
        <v>186</v>
      </c>
      <c r="D59" s="537"/>
      <c r="E59" s="537"/>
      <c r="F59" s="537"/>
      <c r="G59" s="537"/>
      <c r="H59" s="537"/>
    </row>
    <row r="60" spans="1:8" ht="15.75" x14ac:dyDescent="0.25">
      <c r="A60" s="2"/>
      <c r="B60" s="2"/>
      <c r="C60" s="507" t="s">
        <v>278</v>
      </c>
      <c r="D60" s="504" t="s">
        <v>187</v>
      </c>
      <c r="E60" s="497" t="s">
        <v>279</v>
      </c>
      <c r="F60" s="497"/>
      <c r="G60" s="497"/>
      <c r="H60" s="497"/>
    </row>
    <row r="61" spans="1:8" x14ac:dyDescent="0.25">
      <c r="A61" s="2"/>
      <c r="B61" s="2"/>
      <c r="C61" s="507"/>
      <c r="D61" s="504"/>
      <c r="E61" s="169" t="s">
        <v>188</v>
      </c>
      <c r="F61" s="169" t="s">
        <v>280</v>
      </c>
      <c r="G61" s="169" t="s">
        <v>281</v>
      </c>
      <c r="H61" s="169" t="s">
        <v>282</v>
      </c>
    </row>
    <row r="62" spans="1:8" x14ac:dyDescent="0.25">
      <c r="A62" s="2"/>
      <c r="B62" s="2"/>
      <c r="C62" s="11">
        <v>140</v>
      </c>
      <c r="D62" s="11" t="s">
        <v>189</v>
      </c>
      <c r="E62" s="12">
        <v>7.01</v>
      </c>
      <c r="F62" s="12">
        <v>0.56000000000000005</v>
      </c>
      <c r="G62" s="12">
        <v>0.64</v>
      </c>
      <c r="H62" s="170">
        <v>0.184</v>
      </c>
    </row>
    <row r="63" spans="1:8" x14ac:dyDescent="0.25">
      <c r="A63" s="2"/>
      <c r="B63" s="2"/>
      <c r="C63" s="11">
        <v>175</v>
      </c>
      <c r="D63" s="11" t="s">
        <v>190</v>
      </c>
      <c r="E63" s="12">
        <v>8.43</v>
      </c>
      <c r="F63" s="12">
        <v>0.54</v>
      </c>
      <c r="G63" s="12">
        <v>0.55000000000000004</v>
      </c>
      <c r="H63" s="170">
        <v>0.185</v>
      </c>
    </row>
    <row r="64" spans="1:8" x14ac:dyDescent="0.25">
      <c r="A64" s="2"/>
      <c r="B64" s="2"/>
      <c r="C64" s="11">
        <v>210</v>
      </c>
      <c r="D64" s="171" t="s">
        <v>283</v>
      </c>
      <c r="E64" s="12">
        <v>9.73</v>
      </c>
      <c r="F64" s="12">
        <v>0.52</v>
      </c>
      <c r="G64" s="12">
        <v>0.53</v>
      </c>
      <c r="H64" s="170">
        <v>0.186</v>
      </c>
    </row>
    <row r="65" spans="1:8" x14ac:dyDescent="0.25">
      <c r="A65" s="2"/>
      <c r="B65" s="545" t="s">
        <v>739</v>
      </c>
      <c r="C65" s="11">
        <v>245</v>
      </c>
      <c r="D65" s="171" t="s">
        <v>191</v>
      </c>
      <c r="E65" s="12">
        <v>11.5</v>
      </c>
      <c r="F65" s="12">
        <v>0.5</v>
      </c>
      <c r="G65" s="12">
        <v>0.51</v>
      </c>
      <c r="H65" s="170">
        <v>0.187</v>
      </c>
    </row>
    <row r="66" spans="1:8" ht="15" customHeight="1" x14ac:dyDescent="0.25">
      <c r="A66" s="2"/>
      <c r="B66" s="545"/>
      <c r="C66" s="11">
        <v>280</v>
      </c>
      <c r="D66" s="171" t="s">
        <v>284</v>
      </c>
      <c r="E66" s="12">
        <v>13.34</v>
      </c>
      <c r="F66" s="12">
        <v>0.45</v>
      </c>
      <c r="G66" s="12">
        <v>0.51</v>
      </c>
      <c r="H66" s="170">
        <v>0.189</v>
      </c>
    </row>
    <row r="67" spans="1:8" x14ac:dyDescent="0.25">
      <c r="A67" s="2"/>
      <c r="B67" s="545"/>
      <c r="C67" s="172" t="s">
        <v>285</v>
      </c>
      <c r="D67" s="68"/>
      <c r="E67" s="68"/>
      <c r="F67" s="68"/>
      <c r="G67" s="68"/>
      <c r="H67" s="68"/>
    </row>
    <row r="68" spans="1:8" x14ac:dyDescent="0.25">
      <c r="A68" s="2"/>
      <c r="B68" s="545"/>
      <c r="C68" s="98"/>
      <c r="D68" s="68"/>
      <c r="E68" s="68"/>
      <c r="F68" s="68"/>
      <c r="G68" s="68"/>
      <c r="H68" s="68"/>
    </row>
    <row r="69" spans="1:8" x14ac:dyDescent="0.25">
      <c r="A69" s="2"/>
      <c r="B69" s="545"/>
      <c r="C69" s="6" t="s">
        <v>192</v>
      </c>
      <c r="D69" s="68"/>
      <c r="E69" s="17">
        <v>210</v>
      </c>
      <c r="F69" s="35" t="s">
        <v>193</v>
      </c>
      <c r="G69" s="529" t="s">
        <v>740</v>
      </c>
      <c r="H69" s="529"/>
    </row>
    <row r="70" spans="1:8" x14ac:dyDescent="0.25">
      <c r="A70" s="2"/>
      <c r="B70" s="2"/>
      <c r="C70" s="173" t="s">
        <v>741</v>
      </c>
      <c r="D70" s="2"/>
      <c r="E70" s="2"/>
      <c r="F70" s="2"/>
      <c r="G70" s="2"/>
      <c r="H70" s="2"/>
    </row>
    <row r="71" spans="1:8" ht="15.75" x14ac:dyDescent="0.25">
      <c r="A71" s="2"/>
      <c r="B71" s="2"/>
      <c r="C71" s="25" t="s">
        <v>742</v>
      </c>
      <c r="D71" s="2"/>
      <c r="E71" s="2"/>
      <c r="F71" s="175">
        <f>IF(E69=C62,E62,IF(AND(E69=C63),E63,IF(AND(E69=C64),E64,IF(AND(E69=C65),E65,IF(AND(E69=C66),E66)))))</f>
        <v>9.73</v>
      </c>
      <c r="G71" s="25" t="s">
        <v>286</v>
      </c>
      <c r="H71" s="25"/>
    </row>
    <row r="72" spans="1:8" ht="15.75" x14ac:dyDescent="0.25">
      <c r="A72" s="2"/>
      <c r="B72" s="2"/>
      <c r="C72" s="25" t="s">
        <v>196</v>
      </c>
      <c r="D72" s="2"/>
      <c r="E72" s="2"/>
      <c r="F72" s="175">
        <f>IF(E69=C62,F62,IF(AND(E69=C63),F63,IF(AND(E69=C64),F64,IF(AND(E69=C65),F65,IF(AND(E69=C66),F66)))))</f>
        <v>0.52</v>
      </c>
      <c r="G72" s="25" t="s">
        <v>287</v>
      </c>
      <c r="H72" s="25"/>
    </row>
    <row r="73" spans="1:8" ht="15.75" x14ac:dyDescent="0.25">
      <c r="A73" s="2"/>
      <c r="B73" s="2"/>
      <c r="C73" s="25" t="s">
        <v>197</v>
      </c>
      <c r="D73" s="2"/>
      <c r="E73" s="2"/>
      <c r="F73" s="175">
        <f>IF(E69=C62,G62,IF(AND(E69=C63),G63,IF(AND(E69=C64),G64,IF(AND(E69=C65),G65,IF(AND(E69=C66),G66)))))</f>
        <v>0.53</v>
      </c>
      <c r="G73" s="25" t="s">
        <v>287</v>
      </c>
      <c r="H73" s="25"/>
    </row>
    <row r="74" spans="1:8" ht="15.75" x14ac:dyDescent="0.25">
      <c r="A74" s="2"/>
      <c r="B74" s="2"/>
      <c r="C74" s="25" t="s">
        <v>198</v>
      </c>
      <c r="D74" s="2"/>
      <c r="E74" s="2"/>
      <c r="F74" s="176">
        <f>IF(E69=C62,H62,IF(AND(E69=C63),H63,IF(AND(E69=C64),H64,IF(AND(E69=C65),H65,IF(AND(E69=C66),H66)))))</f>
        <v>0.186</v>
      </c>
      <c r="G74" s="25" t="s">
        <v>287</v>
      </c>
      <c r="H74" s="25"/>
    </row>
    <row r="75" spans="1:8" x14ac:dyDescent="0.25">
      <c r="A75" s="2"/>
      <c r="B75" s="2"/>
      <c r="C75" s="2"/>
      <c r="D75" s="2"/>
      <c r="E75" s="2"/>
      <c r="F75" s="2"/>
      <c r="G75" s="2"/>
      <c r="H75" s="2"/>
    </row>
    <row r="76" spans="1:8" x14ac:dyDescent="0.25">
      <c r="A76" s="2"/>
      <c r="B76" s="413" t="s">
        <v>743</v>
      </c>
      <c r="C76" s="414"/>
      <c r="D76" s="414"/>
      <c r="E76" s="414"/>
      <c r="F76" s="2"/>
      <c r="G76" s="2"/>
      <c r="H76" s="2"/>
    </row>
    <row r="77" spans="1:8" x14ac:dyDescent="0.25">
      <c r="A77" s="2"/>
      <c r="B77" s="2"/>
      <c r="C77" s="2"/>
      <c r="D77" s="2"/>
      <c r="E77" s="2"/>
      <c r="F77" s="2"/>
      <c r="G77" s="2"/>
      <c r="H77" s="2"/>
    </row>
    <row r="78" spans="1:8" x14ac:dyDescent="0.25">
      <c r="A78" s="2"/>
      <c r="B78" s="2"/>
      <c r="C78" s="6" t="s">
        <v>108</v>
      </c>
      <c r="D78" s="2"/>
      <c r="E78" s="102">
        <v>0.3</v>
      </c>
      <c r="F78" s="2" t="s">
        <v>744</v>
      </c>
      <c r="G78" s="674" t="s">
        <v>348</v>
      </c>
      <c r="H78" s="674"/>
    </row>
    <row r="79" spans="1:8" x14ac:dyDescent="0.25">
      <c r="A79" s="2"/>
      <c r="B79" s="257"/>
      <c r="C79" s="6" t="s">
        <v>111</v>
      </c>
      <c r="D79" s="2"/>
      <c r="E79" s="103">
        <v>8.0000000000000002E-3</v>
      </c>
      <c r="F79" s="2" t="s">
        <v>745</v>
      </c>
      <c r="G79" s="674"/>
      <c r="H79" s="674"/>
    </row>
    <row r="80" spans="1:8" x14ac:dyDescent="0.25">
      <c r="A80" s="2"/>
      <c r="B80" s="28" t="s">
        <v>147</v>
      </c>
      <c r="C80" s="2"/>
      <c r="D80" s="2"/>
      <c r="E80" s="2"/>
      <c r="F80" s="2"/>
      <c r="G80" s="2"/>
      <c r="H80" s="2"/>
    </row>
    <row r="81" spans="1:9" ht="15" customHeight="1" x14ac:dyDescent="0.25">
      <c r="A81" s="2"/>
      <c r="B81" s="28" t="s">
        <v>148</v>
      </c>
      <c r="C81" s="25" t="s">
        <v>345</v>
      </c>
      <c r="D81" s="2"/>
      <c r="E81" s="2"/>
      <c r="F81" s="2"/>
      <c r="G81" s="258" t="s">
        <v>148</v>
      </c>
      <c r="H81" s="546" t="s">
        <v>349</v>
      </c>
      <c r="I81" s="546"/>
    </row>
    <row r="82" spans="1:9" x14ac:dyDescent="0.25">
      <c r="A82" s="2"/>
      <c r="B82" s="2"/>
      <c r="C82" s="25" t="s">
        <v>346</v>
      </c>
      <c r="D82" s="2"/>
      <c r="E82" s="2"/>
      <c r="F82" s="2"/>
      <c r="G82" s="258" t="s">
        <v>148</v>
      </c>
      <c r="H82" s="546"/>
      <c r="I82" s="546"/>
    </row>
    <row r="83" spans="1:9" x14ac:dyDescent="0.25">
      <c r="A83" s="2"/>
      <c r="B83" s="2"/>
      <c r="C83" s="25"/>
      <c r="D83" s="2"/>
      <c r="E83" s="2"/>
      <c r="F83" s="2"/>
      <c r="G83" s="283"/>
      <c r="H83" s="262"/>
      <c r="I83" s="262"/>
    </row>
    <row r="84" spans="1:9" x14ac:dyDescent="0.25">
      <c r="A84" s="2"/>
      <c r="B84" s="2"/>
      <c r="C84" s="282" t="s">
        <v>395</v>
      </c>
      <c r="D84" s="2"/>
      <c r="E84" s="2"/>
      <c r="F84" s="2"/>
      <c r="G84" s="2"/>
      <c r="H84" s="2"/>
      <c r="I84" s="2"/>
    </row>
    <row r="85" spans="1:9" x14ac:dyDescent="0.25">
      <c r="A85" s="2"/>
      <c r="B85" s="28"/>
      <c r="C85" s="2"/>
      <c r="D85" s="2"/>
      <c r="E85" s="2"/>
      <c r="F85" s="2"/>
      <c r="G85" s="2"/>
      <c r="H85" s="2"/>
    </row>
    <row r="86" spans="1:9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5">
      <c r="A87" s="2"/>
      <c r="B87" s="413" t="s">
        <v>746</v>
      </c>
      <c r="C87" s="414"/>
      <c r="D87" s="414"/>
      <c r="E87" s="414"/>
      <c r="F87" s="2"/>
      <c r="G87" s="2"/>
      <c r="H87" s="2"/>
    </row>
    <row r="88" spans="1:9" x14ac:dyDescent="0.25">
      <c r="A88" s="2"/>
      <c r="B88" s="2"/>
      <c r="C88" s="537" t="s">
        <v>200</v>
      </c>
      <c r="D88" s="537"/>
      <c r="E88" s="537"/>
      <c r="F88" s="537"/>
      <c r="G88" s="537"/>
      <c r="H88" s="537"/>
    </row>
    <row r="89" spans="1:9" x14ac:dyDescent="0.25">
      <c r="A89" s="2"/>
      <c r="B89" s="2"/>
      <c r="C89" s="507" t="s">
        <v>201</v>
      </c>
      <c r="D89" s="504" t="s">
        <v>202</v>
      </c>
      <c r="E89" s="504"/>
      <c r="F89" s="521" t="s">
        <v>203</v>
      </c>
      <c r="G89" s="521"/>
      <c r="H89" s="521"/>
    </row>
    <row r="90" spans="1:9" x14ac:dyDescent="0.25">
      <c r="A90" s="2"/>
      <c r="B90" s="2"/>
      <c r="C90" s="507"/>
      <c r="D90" s="177" t="s">
        <v>204</v>
      </c>
      <c r="E90" s="177" t="s">
        <v>205</v>
      </c>
      <c r="F90" s="26" t="s">
        <v>288</v>
      </c>
      <c r="G90" s="26" t="s">
        <v>206</v>
      </c>
      <c r="H90" s="178" t="s">
        <v>207</v>
      </c>
    </row>
    <row r="91" spans="1:9" x14ac:dyDescent="0.25">
      <c r="A91" s="2"/>
      <c r="B91" s="2"/>
      <c r="C91" s="420" t="str">
        <f>E91</f>
        <v>4.77 mm</v>
      </c>
      <c r="D91" s="420"/>
      <c r="E91" s="420" t="s">
        <v>747</v>
      </c>
      <c r="F91" s="70">
        <v>0.18</v>
      </c>
      <c r="G91" s="70">
        <v>1.49</v>
      </c>
      <c r="H91" s="421">
        <v>0.13619999999999999</v>
      </c>
    </row>
    <row r="92" spans="1:9" x14ac:dyDescent="0.25">
      <c r="A92" s="2"/>
      <c r="B92" s="2"/>
      <c r="C92" s="12" t="str">
        <f>+E92</f>
        <v>6 mm</v>
      </c>
      <c r="D92" s="12" t="s">
        <v>209</v>
      </c>
      <c r="E92" s="12" t="s">
        <v>404</v>
      </c>
      <c r="F92" s="12">
        <v>0.28000000000000003</v>
      </c>
      <c r="G92" s="12">
        <v>1.88</v>
      </c>
      <c r="H92" s="170">
        <v>0.22</v>
      </c>
    </row>
    <row r="93" spans="1:9" x14ac:dyDescent="0.25">
      <c r="A93" s="2"/>
      <c r="B93" s="2"/>
      <c r="C93" s="12" t="str">
        <f>+E93</f>
        <v>8 mm</v>
      </c>
      <c r="D93" s="12" t="s">
        <v>209</v>
      </c>
      <c r="E93" s="12" t="s">
        <v>405</v>
      </c>
      <c r="F93" s="12">
        <v>0.5</v>
      </c>
      <c r="G93" s="12">
        <v>2.5</v>
      </c>
      <c r="H93" s="170">
        <v>0.39500000000000002</v>
      </c>
    </row>
    <row r="94" spans="1:9" x14ac:dyDescent="0.25">
      <c r="A94" s="2"/>
      <c r="B94" s="545" t="s">
        <v>748</v>
      </c>
      <c r="C94" s="12" t="str">
        <f>+D94</f>
        <v>3/8"</v>
      </c>
      <c r="D94" s="12" t="s">
        <v>208</v>
      </c>
      <c r="E94" s="12" t="s">
        <v>209</v>
      </c>
      <c r="F94" s="12">
        <v>0.71</v>
      </c>
      <c r="G94" s="12">
        <v>2.99</v>
      </c>
      <c r="H94" s="170">
        <v>0.55700000000000005</v>
      </c>
    </row>
    <row r="95" spans="1:9" ht="15" customHeight="1" x14ac:dyDescent="0.25">
      <c r="A95" s="2"/>
      <c r="B95" s="545"/>
      <c r="C95" s="12" t="str">
        <f>+D95</f>
        <v>1/2"</v>
      </c>
      <c r="D95" s="12" t="s">
        <v>210</v>
      </c>
      <c r="E95" s="12" t="s">
        <v>209</v>
      </c>
      <c r="F95" s="12">
        <v>1.29</v>
      </c>
      <c r="G95" s="12">
        <v>3.99</v>
      </c>
      <c r="H95" s="170">
        <v>0.99399999999999999</v>
      </c>
    </row>
    <row r="96" spans="1:9" x14ac:dyDescent="0.25">
      <c r="A96" s="2"/>
      <c r="B96" s="545"/>
      <c r="C96" s="12" t="str">
        <f>+D96</f>
        <v>5/8"</v>
      </c>
      <c r="D96" s="12" t="s">
        <v>211</v>
      </c>
      <c r="E96" s="12" t="s">
        <v>209</v>
      </c>
      <c r="F96" s="12">
        <v>1.99</v>
      </c>
      <c r="G96" s="12">
        <v>4.99</v>
      </c>
      <c r="H96" s="170">
        <v>1.552</v>
      </c>
    </row>
    <row r="97" spans="1:9" ht="15" customHeight="1" x14ac:dyDescent="0.25">
      <c r="A97" s="2"/>
      <c r="B97" s="545"/>
      <c r="C97" s="179"/>
      <c r="D97" s="179"/>
      <c r="E97" s="179"/>
      <c r="F97" s="179"/>
      <c r="G97" s="179"/>
      <c r="H97" s="180"/>
    </row>
    <row r="98" spans="1:9" ht="15" customHeight="1" x14ac:dyDescent="0.25">
      <c r="A98" s="2"/>
      <c r="B98" s="545"/>
      <c r="C98" s="6" t="s">
        <v>749</v>
      </c>
      <c r="D98" s="2"/>
      <c r="E98" s="2"/>
      <c r="F98" s="2"/>
      <c r="G98" s="2"/>
      <c r="H98" s="2"/>
    </row>
    <row r="99" spans="1:9" ht="15" customHeight="1" x14ac:dyDescent="0.25">
      <c r="A99" s="2"/>
      <c r="B99" s="2"/>
      <c r="C99" s="181" t="s">
        <v>147</v>
      </c>
      <c r="D99" s="2"/>
      <c r="E99" s="24" t="s">
        <v>750</v>
      </c>
      <c r="F99" s="182" t="s">
        <v>147</v>
      </c>
      <c r="G99" s="533" t="s">
        <v>751</v>
      </c>
      <c r="H99" s="533"/>
    </row>
    <row r="100" spans="1:9" x14ac:dyDescent="0.25">
      <c r="A100" s="2"/>
      <c r="B100" s="2"/>
      <c r="C100" s="181" t="s">
        <v>148</v>
      </c>
      <c r="D100" s="179"/>
      <c r="E100" s="24" t="s">
        <v>752</v>
      </c>
      <c r="F100" s="182" t="s">
        <v>147</v>
      </c>
      <c r="G100" s="533"/>
      <c r="H100" s="533"/>
    </row>
    <row r="101" spans="1:9" x14ac:dyDescent="0.25">
      <c r="A101" s="2"/>
      <c r="B101" s="2"/>
      <c r="C101" s="2"/>
      <c r="D101" s="179"/>
      <c r="E101" s="24" t="s">
        <v>753</v>
      </c>
      <c r="F101" s="182" t="s">
        <v>148</v>
      </c>
      <c r="G101" s="533"/>
      <c r="H101" s="533"/>
    </row>
    <row r="102" spans="1:9" x14ac:dyDescent="0.25">
      <c r="A102" s="2"/>
      <c r="B102" s="2"/>
      <c r="C102" s="2"/>
      <c r="D102" s="179"/>
      <c r="E102" s="6"/>
      <c r="F102" s="2"/>
      <c r="G102" s="184"/>
      <c r="H102" s="184"/>
    </row>
    <row r="103" spans="1:9" x14ac:dyDescent="0.25">
      <c r="A103" s="2"/>
      <c r="B103" s="2"/>
      <c r="C103" s="6" t="s">
        <v>754</v>
      </c>
      <c r="D103" s="2"/>
      <c r="E103" s="24" t="s">
        <v>755</v>
      </c>
      <c r="F103" s="17" t="s">
        <v>404</v>
      </c>
      <c r="G103" s="819" t="s">
        <v>756</v>
      </c>
      <c r="H103" s="819"/>
    </row>
    <row r="104" spans="1:9" ht="15" customHeight="1" x14ac:dyDescent="0.25">
      <c r="A104" s="2"/>
      <c r="B104" s="2"/>
      <c r="C104" s="2"/>
      <c r="D104" s="2"/>
      <c r="E104" s="2"/>
      <c r="F104" s="2"/>
      <c r="G104" s="2"/>
      <c r="H104" s="2"/>
    </row>
    <row r="105" spans="1:9" ht="15.75" customHeight="1" x14ac:dyDescent="0.25">
      <c r="A105" s="2"/>
      <c r="B105" s="2"/>
      <c r="C105" s="6" t="s">
        <v>215</v>
      </c>
      <c r="D105" s="2"/>
      <c r="E105" s="2"/>
      <c r="F105" s="17">
        <v>0.05</v>
      </c>
      <c r="G105" s="2" t="s">
        <v>216</v>
      </c>
      <c r="H105" s="533" t="s">
        <v>217</v>
      </c>
      <c r="I105" s="300"/>
    </row>
    <row r="106" spans="1:9" ht="15.75" customHeight="1" x14ac:dyDescent="0.25">
      <c r="A106" s="2"/>
      <c r="B106" s="2"/>
      <c r="C106" s="6"/>
      <c r="D106" s="2"/>
      <c r="E106" s="2"/>
      <c r="F106" s="19"/>
      <c r="G106" s="2"/>
      <c r="H106" s="533"/>
      <c r="I106" s="300"/>
    </row>
    <row r="107" spans="1:9" ht="15" customHeight="1" x14ac:dyDescent="0.25">
      <c r="A107" s="2"/>
      <c r="B107" s="2"/>
      <c r="C107" s="2"/>
      <c r="D107" s="2"/>
      <c r="E107" s="2"/>
      <c r="F107" s="2"/>
      <c r="G107" s="2"/>
      <c r="H107" s="533"/>
      <c r="I107" s="300"/>
    </row>
    <row r="108" spans="1:9" x14ac:dyDescent="0.25">
      <c r="A108" s="2"/>
      <c r="B108" s="413" t="s">
        <v>757</v>
      </c>
      <c r="C108" s="414"/>
      <c r="D108" s="414"/>
      <c r="E108" s="414"/>
      <c r="F108" s="2"/>
      <c r="G108" s="2"/>
      <c r="H108" s="2"/>
    </row>
    <row r="109" spans="1:9" ht="15" customHeight="1" x14ac:dyDescent="0.25">
      <c r="A109" s="2"/>
      <c r="B109" s="2"/>
      <c r="C109" s="2"/>
      <c r="D109" s="188"/>
      <c r="E109" s="188"/>
      <c r="F109" s="188"/>
      <c r="G109" s="2"/>
      <c r="H109" s="2"/>
    </row>
    <row r="110" spans="1:9" ht="15" customHeight="1" x14ac:dyDescent="0.25">
      <c r="A110" s="2"/>
      <c r="B110" s="2"/>
      <c r="C110" s="6" t="s">
        <v>219</v>
      </c>
      <c r="D110" s="2"/>
      <c r="E110" s="102">
        <v>5.15</v>
      </c>
      <c r="F110" s="2" t="s">
        <v>293</v>
      </c>
      <c r="G110" s="2"/>
      <c r="H110" s="533" t="s">
        <v>220</v>
      </c>
    </row>
    <row r="111" spans="1:9" ht="15" customHeight="1" x14ac:dyDescent="0.25">
      <c r="A111" s="2"/>
      <c r="B111" s="2"/>
      <c r="C111" s="6" t="s">
        <v>221</v>
      </c>
      <c r="D111" s="2"/>
      <c r="E111" s="102">
        <v>0.2</v>
      </c>
      <c r="F111" s="2" t="s">
        <v>294</v>
      </c>
      <c r="G111" s="2"/>
      <c r="H111" s="533"/>
    </row>
    <row r="112" spans="1:9" ht="18" customHeight="1" x14ac:dyDescent="0.25">
      <c r="A112" s="2"/>
      <c r="B112" s="2"/>
      <c r="C112" s="6" t="s">
        <v>758</v>
      </c>
      <c r="D112" s="2"/>
      <c r="E112" s="102">
        <v>0.5</v>
      </c>
      <c r="F112" s="2" t="s">
        <v>294</v>
      </c>
      <c r="G112" s="2"/>
      <c r="H112" s="533"/>
    </row>
    <row r="113" spans="1:8" ht="15" customHeight="1" x14ac:dyDescent="0.25">
      <c r="A113" s="2"/>
      <c r="B113" s="2"/>
      <c r="C113" s="6"/>
      <c r="D113" s="2"/>
      <c r="E113" s="189"/>
      <c r="F113" s="2"/>
      <c r="G113" s="2"/>
      <c r="H113" s="2"/>
    </row>
    <row r="114" spans="1:8" ht="15" customHeight="1" x14ac:dyDescent="0.25">
      <c r="A114" s="2"/>
      <c r="B114" s="2"/>
      <c r="C114" s="6"/>
      <c r="D114" s="2"/>
      <c r="E114" s="189"/>
      <c r="F114" s="2"/>
      <c r="G114" s="2"/>
      <c r="H114" s="2"/>
    </row>
    <row r="115" spans="1:8" ht="15" customHeight="1" x14ac:dyDescent="0.25">
      <c r="A115" s="411" t="s">
        <v>759</v>
      </c>
      <c r="B115" s="239"/>
      <c r="C115" s="239"/>
      <c r="D115" s="239"/>
      <c r="E115" s="32"/>
      <c r="F115" s="2"/>
      <c r="G115" s="2"/>
      <c r="H115" s="2"/>
    </row>
    <row r="116" spans="1:8" x14ac:dyDescent="0.25">
      <c r="A116" s="23"/>
      <c r="B116" s="24" t="s">
        <v>6</v>
      </c>
      <c r="C116" s="161">
        <v>8</v>
      </c>
      <c r="D116" s="25" t="s">
        <v>7</v>
      </c>
      <c r="E116" s="2"/>
      <c r="F116" s="2"/>
      <c r="G116" s="2"/>
      <c r="H116" s="2"/>
    </row>
    <row r="117" spans="1:8" ht="15.75" customHeight="1" x14ac:dyDescent="0.25">
      <c r="A117" s="2"/>
      <c r="B117" s="820" t="s">
        <v>8</v>
      </c>
      <c r="C117" s="820"/>
      <c r="D117" s="820"/>
      <c r="E117" s="820"/>
      <c r="F117" s="820"/>
      <c r="G117" s="820"/>
      <c r="H117" s="2"/>
    </row>
    <row r="118" spans="1:8" ht="17.25" customHeight="1" x14ac:dyDescent="0.25">
      <c r="A118" s="538" t="s">
        <v>9</v>
      </c>
      <c r="B118" s="458" t="s">
        <v>223</v>
      </c>
      <c r="C118" s="459"/>
      <c r="D118" s="448" t="s">
        <v>10</v>
      </c>
      <c r="E118" s="449"/>
      <c r="F118" s="449"/>
      <c r="G118" s="449"/>
      <c r="H118" s="457"/>
    </row>
    <row r="119" spans="1:8" ht="28.5" customHeight="1" x14ac:dyDescent="0.25">
      <c r="A119" s="538"/>
      <c r="B119" s="539"/>
      <c r="C119" s="540"/>
      <c r="D119" s="191" t="s">
        <v>11</v>
      </c>
      <c r="E119" s="191" t="s">
        <v>12</v>
      </c>
      <c r="F119" s="191" t="s">
        <v>13</v>
      </c>
      <c r="G119" s="191" t="s">
        <v>14</v>
      </c>
      <c r="H119" s="160" t="s">
        <v>760</v>
      </c>
    </row>
    <row r="120" spans="1:8" x14ac:dyDescent="0.25">
      <c r="A120" s="549" t="s">
        <v>761</v>
      </c>
      <c r="B120" s="551">
        <v>12</v>
      </c>
      <c r="C120" s="557" t="s">
        <v>295</v>
      </c>
      <c r="D120" s="555">
        <v>0.2</v>
      </c>
      <c r="E120" s="531">
        <v>2</v>
      </c>
      <c r="F120" s="531">
        <v>2</v>
      </c>
      <c r="G120" s="531">
        <v>8</v>
      </c>
      <c r="H120" s="531">
        <v>1</v>
      </c>
    </row>
    <row r="121" spans="1:8" ht="23.25" customHeight="1" x14ac:dyDescent="0.25">
      <c r="A121" s="550"/>
      <c r="B121" s="558"/>
      <c r="C121" s="559"/>
      <c r="D121" s="556"/>
      <c r="E121" s="532"/>
      <c r="F121" s="532"/>
      <c r="G121" s="532"/>
      <c r="H121" s="532"/>
    </row>
    <row r="122" spans="1:8" x14ac:dyDescent="0.25">
      <c r="A122" s="549" t="s">
        <v>226</v>
      </c>
      <c r="B122" s="551">
        <v>14</v>
      </c>
      <c r="C122" s="557" t="s">
        <v>296</v>
      </c>
      <c r="D122" s="555">
        <v>0.1</v>
      </c>
      <c r="E122" s="531">
        <v>1</v>
      </c>
      <c r="F122" s="531">
        <v>1</v>
      </c>
      <c r="G122" s="531">
        <v>0.5</v>
      </c>
      <c r="H122" s="531">
        <v>0</v>
      </c>
    </row>
    <row r="123" spans="1:8" ht="23.25" customHeight="1" x14ac:dyDescent="0.25">
      <c r="A123" s="550"/>
      <c r="B123" s="552"/>
      <c r="C123" s="554"/>
      <c r="D123" s="556"/>
      <c r="E123" s="532"/>
      <c r="F123" s="532"/>
      <c r="G123" s="532"/>
      <c r="H123" s="532"/>
    </row>
    <row r="124" spans="1:8" x14ac:dyDescent="0.25">
      <c r="A124" s="549" t="s">
        <v>227</v>
      </c>
      <c r="B124" s="551">
        <v>250</v>
      </c>
      <c r="C124" s="553" t="s">
        <v>228</v>
      </c>
      <c r="D124" s="555">
        <v>0.1</v>
      </c>
      <c r="E124" s="531">
        <v>1</v>
      </c>
      <c r="F124" s="531">
        <v>1</v>
      </c>
      <c r="G124" s="531">
        <v>1</v>
      </c>
      <c r="H124" s="531">
        <v>0</v>
      </c>
    </row>
    <row r="125" spans="1:8" ht="20.25" customHeight="1" x14ac:dyDescent="0.25">
      <c r="A125" s="550"/>
      <c r="B125" s="552"/>
      <c r="C125" s="554"/>
      <c r="D125" s="556"/>
      <c r="E125" s="532"/>
      <c r="F125" s="532"/>
      <c r="G125" s="532"/>
      <c r="H125" s="532"/>
    </row>
    <row r="126" spans="1:8" x14ac:dyDescent="0.25">
      <c r="A126" s="549" t="s">
        <v>762</v>
      </c>
      <c r="B126" s="551">
        <v>1600</v>
      </c>
      <c r="C126" s="553" t="s">
        <v>763</v>
      </c>
      <c r="D126" s="555">
        <v>0.1</v>
      </c>
      <c r="E126" s="531">
        <v>1</v>
      </c>
      <c r="F126" s="531">
        <v>0</v>
      </c>
      <c r="G126" s="531">
        <v>5</v>
      </c>
      <c r="H126" s="531">
        <v>0</v>
      </c>
    </row>
    <row r="127" spans="1:8" x14ac:dyDescent="0.25">
      <c r="A127" s="550"/>
      <c r="B127" s="552"/>
      <c r="C127" s="554"/>
      <c r="D127" s="556"/>
      <c r="E127" s="532"/>
      <c r="F127" s="532"/>
      <c r="G127" s="532"/>
      <c r="H127" s="532"/>
    </row>
    <row r="128" spans="1:8" x14ac:dyDescent="0.25">
      <c r="A128" s="549" t="s">
        <v>764</v>
      </c>
      <c r="B128" s="551">
        <v>400</v>
      </c>
      <c r="C128" s="553" t="s">
        <v>763</v>
      </c>
      <c r="D128" s="555">
        <v>0.1</v>
      </c>
      <c r="E128" s="531">
        <v>1</v>
      </c>
      <c r="F128" s="531">
        <v>0</v>
      </c>
      <c r="G128" s="531">
        <v>5</v>
      </c>
      <c r="H128" s="531">
        <v>0</v>
      </c>
    </row>
    <row r="129" spans="1:8" x14ac:dyDescent="0.25">
      <c r="A129" s="550"/>
      <c r="B129" s="552"/>
      <c r="C129" s="554"/>
      <c r="D129" s="556"/>
      <c r="E129" s="532"/>
      <c r="F129" s="532"/>
      <c r="G129" s="532"/>
      <c r="H129" s="532"/>
    </row>
    <row r="130" spans="1:8" x14ac:dyDescent="0.25">
      <c r="A130" s="2"/>
      <c r="B130" s="2"/>
      <c r="C130" s="2"/>
      <c r="D130" s="2"/>
      <c r="E130" s="2"/>
      <c r="F130" s="2"/>
      <c r="G130" s="2"/>
      <c r="H130" s="2"/>
    </row>
    <row r="131" spans="1:8" x14ac:dyDescent="0.25">
      <c r="A131" s="2"/>
      <c r="B131" s="2"/>
      <c r="C131" s="2"/>
      <c r="D131" s="2"/>
      <c r="E131" s="2"/>
      <c r="F131" s="2"/>
      <c r="G131" s="2"/>
      <c r="H131" s="2"/>
    </row>
    <row r="132" spans="1:8" x14ac:dyDescent="0.25">
      <c r="A132" s="411" t="s">
        <v>765</v>
      </c>
      <c r="B132" s="239"/>
      <c r="C132" s="239"/>
      <c r="D132" s="239"/>
      <c r="E132" s="2"/>
      <c r="F132" s="2"/>
      <c r="G132" s="2"/>
      <c r="H132" s="2"/>
    </row>
    <row r="133" spans="1:8" x14ac:dyDescent="0.25">
      <c r="A133" s="22"/>
      <c r="B133" s="2"/>
      <c r="C133" s="2"/>
      <c r="D133" s="2"/>
      <c r="E133" s="2"/>
      <c r="F133" s="2"/>
      <c r="G133" s="2"/>
      <c r="H133" s="2"/>
    </row>
    <row r="134" spans="1:8" x14ac:dyDescent="0.25">
      <c r="A134" s="2"/>
      <c r="B134" s="413" t="s">
        <v>230</v>
      </c>
      <c r="C134" s="414"/>
      <c r="D134" s="414"/>
      <c r="E134" s="2"/>
      <c r="F134" s="2"/>
      <c r="G134" s="2"/>
      <c r="H134" s="2"/>
    </row>
    <row r="135" spans="1:8" x14ac:dyDescent="0.25">
      <c r="A135" s="2"/>
      <c r="B135" s="2"/>
      <c r="C135" s="2"/>
      <c r="D135" s="2"/>
      <c r="E135" s="2"/>
      <c r="F135" s="68"/>
      <c r="G135" s="68"/>
      <c r="H135" s="533" t="s">
        <v>231</v>
      </c>
    </row>
    <row r="136" spans="1:8" ht="15" customHeight="1" x14ac:dyDescent="0.25">
      <c r="A136" s="2"/>
      <c r="B136" s="181">
        <v>0</v>
      </c>
      <c r="C136" s="6" t="s">
        <v>232</v>
      </c>
      <c r="D136" s="2"/>
      <c r="E136" s="2"/>
      <c r="F136" s="17">
        <v>1</v>
      </c>
      <c r="G136" s="2" t="s">
        <v>233</v>
      </c>
      <c r="H136" s="533"/>
    </row>
    <row r="137" spans="1:8" x14ac:dyDescent="0.25">
      <c r="A137" s="2"/>
      <c r="B137" s="181">
        <v>1</v>
      </c>
      <c r="C137" s="6" t="s">
        <v>297</v>
      </c>
      <c r="D137" s="2"/>
      <c r="E137" s="2"/>
      <c r="F137" s="17">
        <v>1</v>
      </c>
      <c r="G137" s="2" t="s">
        <v>18</v>
      </c>
      <c r="H137" s="533"/>
    </row>
    <row r="138" spans="1:8" x14ac:dyDescent="0.25">
      <c r="A138" s="2"/>
      <c r="B138" s="181">
        <v>2</v>
      </c>
      <c r="C138" s="6"/>
      <c r="D138" s="2"/>
      <c r="E138" s="2"/>
      <c r="F138" s="68"/>
      <c r="G138" s="192"/>
      <c r="H138" s="533"/>
    </row>
    <row r="139" spans="1:8" x14ac:dyDescent="0.25">
      <c r="A139" s="2"/>
      <c r="B139" s="413" t="s">
        <v>234</v>
      </c>
      <c r="C139" s="414"/>
      <c r="D139" s="414"/>
      <c r="E139" s="2"/>
      <c r="F139" s="2"/>
      <c r="G139" s="2"/>
      <c r="H139" s="2"/>
    </row>
    <row r="140" spans="1:8" x14ac:dyDescent="0.25">
      <c r="A140" s="2"/>
      <c r="B140" s="2"/>
      <c r="C140" s="2"/>
      <c r="D140" s="2"/>
      <c r="E140" s="2"/>
      <c r="F140" s="2"/>
      <c r="G140" s="2"/>
      <c r="H140" s="2"/>
    </row>
    <row r="141" spans="1:8" x14ac:dyDescent="0.25">
      <c r="A141" s="2"/>
      <c r="B141" s="2"/>
      <c r="C141" s="6" t="s">
        <v>19</v>
      </c>
      <c r="D141" s="2"/>
      <c r="E141" s="20">
        <v>0.03</v>
      </c>
      <c r="F141" s="2" t="s">
        <v>20</v>
      </c>
      <c r="G141" s="529" t="s">
        <v>21</v>
      </c>
      <c r="H141" s="529"/>
    </row>
    <row r="142" spans="1:8" x14ac:dyDescent="0.25">
      <c r="A142" s="2"/>
      <c r="B142" s="2"/>
      <c r="C142" s="2"/>
      <c r="D142" s="2"/>
      <c r="E142" s="2"/>
      <c r="F142" s="2"/>
      <c r="G142" s="2"/>
      <c r="H142" s="2"/>
    </row>
    <row r="143" spans="1:8" x14ac:dyDescent="0.25">
      <c r="A143" s="2"/>
      <c r="B143" s="2"/>
      <c r="C143" s="2"/>
      <c r="D143" s="2"/>
      <c r="E143" s="2"/>
      <c r="F143" s="2"/>
      <c r="G143" s="2"/>
      <c r="H143" s="2"/>
    </row>
    <row r="144" spans="1:8" x14ac:dyDescent="0.25">
      <c r="A144" s="411" t="s">
        <v>766</v>
      </c>
      <c r="B144" s="239"/>
      <c r="C144" s="239"/>
      <c r="D144" s="566" t="s">
        <v>322</v>
      </c>
      <c r="E144" s="566"/>
      <c r="F144" s="566"/>
      <c r="G144" s="566"/>
      <c r="H144" s="2"/>
    </row>
    <row r="145" spans="1:9" ht="15.75" x14ac:dyDescent="0.25">
      <c r="A145" s="5"/>
      <c r="B145" s="2"/>
      <c r="C145" s="2"/>
      <c r="D145" s="2"/>
      <c r="E145" s="108"/>
      <c r="F145" s="2"/>
      <c r="G145" s="2"/>
      <c r="H145" s="2"/>
      <c r="I145" s="2"/>
    </row>
    <row r="146" spans="1:9" ht="15.75" x14ac:dyDescent="0.25">
      <c r="A146" s="5"/>
      <c r="B146" s="100" t="s">
        <v>143</v>
      </c>
      <c r="C146" s="101"/>
      <c r="D146" s="2"/>
      <c r="E146" s="108" t="s">
        <v>118</v>
      </c>
      <c r="F146" s="2"/>
      <c r="G146" s="2"/>
      <c r="H146" s="2"/>
      <c r="I146" s="2"/>
    </row>
    <row r="147" spans="1:9" x14ac:dyDescent="0.25">
      <c r="A147" s="22"/>
      <c r="B147" s="18"/>
      <c r="C147" s="107"/>
      <c r="D147" s="107"/>
      <c r="E147" s="107"/>
      <c r="F147" s="107"/>
      <c r="G147" s="2"/>
      <c r="H147" s="2"/>
      <c r="I147" s="2"/>
    </row>
    <row r="148" spans="1:9" x14ac:dyDescent="0.25">
      <c r="A148" s="28" t="s">
        <v>119</v>
      </c>
      <c r="B148" s="573" t="s">
        <v>23</v>
      </c>
      <c r="C148" s="574"/>
      <c r="D148" s="138" t="s">
        <v>123</v>
      </c>
      <c r="E148" s="575" t="s">
        <v>116</v>
      </c>
      <c r="F148" s="576"/>
      <c r="G148" s="577" t="s">
        <v>117</v>
      </c>
      <c r="H148" s="578"/>
      <c r="I148" s="2"/>
    </row>
    <row r="149" spans="1:9" x14ac:dyDescent="0.25">
      <c r="A149" s="28" t="s">
        <v>415</v>
      </c>
      <c r="B149" s="446" t="str">
        <f>IF(F27=C25,"Ladrillo hueco",IF(AND(F27=C26),"-"))</f>
        <v>Ladrillo hueco</v>
      </c>
      <c r="C149" s="446"/>
      <c r="D149" s="193" t="str">
        <f>IF(F27=C25,"pza",IF(AND(F27=C26),"-"))</f>
        <v>pza</v>
      </c>
      <c r="E149" s="194" t="str">
        <f>IF(F27=C25,"S/.",IF(AND(F27=C26),"No considerar"))</f>
        <v>S/.</v>
      </c>
      <c r="F149" s="195">
        <v>2</v>
      </c>
      <c r="G149" s="194" t="str">
        <f>E149</f>
        <v>S/.</v>
      </c>
      <c r="H149" s="422">
        <f>F149/1.18</f>
        <v>1.6949152542372883</v>
      </c>
    </row>
    <row r="150" spans="1:9" x14ac:dyDescent="0.25">
      <c r="A150" s="28" t="s">
        <v>416</v>
      </c>
      <c r="B150" s="446" t="str">
        <f>IF(F27=C26,"Ladrillo casetón (tecnopor)",IF(AND(F27=C25),"-"))</f>
        <v>-</v>
      </c>
      <c r="C150" s="446"/>
      <c r="D150" s="193" t="str">
        <f>IF(F27=C26,"pza",IF(AND(F27=C25),"-"))</f>
        <v>-</v>
      </c>
      <c r="E150" s="194" t="str">
        <f>IF(F27=C26,"S/.",IF(AND(F27=C25),"No considerar"))</f>
        <v>No considerar</v>
      </c>
      <c r="F150" s="195">
        <v>13</v>
      </c>
      <c r="G150" s="194" t="str">
        <f t="shared" ref="G150:G163" si="2">E150</f>
        <v>No considerar</v>
      </c>
      <c r="H150" s="422">
        <f t="shared" ref="H150:H163" si="3">F150/1.18</f>
        <v>11.016949152542374</v>
      </c>
    </row>
    <row r="151" spans="1:9" x14ac:dyDescent="0.25">
      <c r="A151" s="2"/>
      <c r="B151" s="446" t="s">
        <v>39</v>
      </c>
      <c r="C151" s="446"/>
      <c r="D151" s="193" t="s">
        <v>417</v>
      </c>
      <c r="E151" s="194" t="s">
        <v>24</v>
      </c>
      <c r="F151" s="195">
        <v>22</v>
      </c>
      <c r="G151" s="194" t="str">
        <f t="shared" si="2"/>
        <v>S/.</v>
      </c>
      <c r="H151" s="422">
        <f t="shared" si="3"/>
        <v>18.64406779661017</v>
      </c>
    </row>
    <row r="152" spans="1:9" x14ac:dyDescent="0.25">
      <c r="A152" s="2"/>
      <c r="B152" s="446" t="s">
        <v>236</v>
      </c>
      <c r="C152" s="446"/>
      <c r="D152" s="193" t="s">
        <v>579</v>
      </c>
      <c r="E152" s="194" t="s">
        <v>24</v>
      </c>
      <c r="F152" s="195">
        <v>60</v>
      </c>
      <c r="G152" s="194" t="str">
        <f t="shared" si="2"/>
        <v>S/.</v>
      </c>
      <c r="H152" s="422">
        <f t="shared" si="3"/>
        <v>50.847457627118644</v>
      </c>
    </row>
    <row r="153" spans="1:9" x14ac:dyDescent="0.25">
      <c r="A153" s="2"/>
      <c r="B153" s="446" t="s">
        <v>237</v>
      </c>
      <c r="C153" s="446"/>
      <c r="D153" s="193" t="s">
        <v>579</v>
      </c>
      <c r="E153" s="194" t="s">
        <v>24</v>
      </c>
      <c r="F153" s="195">
        <v>65</v>
      </c>
      <c r="G153" s="194" t="str">
        <f t="shared" si="2"/>
        <v>S/.</v>
      </c>
      <c r="H153" s="422">
        <f t="shared" si="3"/>
        <v>55.084745762711869</v>
      </c>
    </row>
    <row r="154" spans="1:9" x14ac:dyDescent="0.25">
      <c r="A154" s="2"/>
      <c r="B154" s="446" t="s">
        <v>89</v>
      </c>
      <c r="C154" s="446"/>
      <c r="D154" s="193" t="s">
        <v>579</v>
      </c>
      <c r="E154" s="194" t="s">
        <v>24</v>
      </c>
      <c r="F154" s="195">
        <v>5</v>
      </c>
      <c r="G154" s="194" t="str">
        <f t="shared" si="2"/>
        <v>S/.</v>
      </c>
      <c r="H154" s="422">
        <f t="shared" si="3"/>
        <v>4.2372881355932206</v>
      </c>
    </row>
    <row r="155" spans="1:9" x14ac:dyDescent="0.25">
      <c r="A155" s="2"/>
      <c r="B155" s="446" t="str">
        <f>IF(G81="NO","Gasolina de 84 octanos",IF(AND(G81="SI"),"-"))</f>
        <v>Gasolina de 84 octanos</v>
      </c>
      <c r="C155" s="446"/>
      <c r="D155" s="193" t="str">
        <f>IF(G81="NO","galón",IF(AND(G81="SI"),"-"))</f>
        <v>galón</v>
      </c>
      <c r="E155" s="194" t="str">
        <f>IF(G81="NO","S/.",IF(AND(G81="SI"),"No considerar"))</f>
        <v>S/.</v>
      </c>
      <c r="F155" s="195">
        <v>9.59</v>
      </c>
      <c r="G155" s="194" t="str">
        <f t="shared" si="2"/>
        <v>S/.</v>
      </c>
      <c r="H155" s="422">
        <f t="shared" si="3"/>
        <v>8.1271186440677976</v>
      </c>
    </row>
    <row r="156" spans="1:9" x14ac:dyDescent="0.25">
      <c r="A156" s="2"/>
      <c r="B156" s="453" t="str">
        <f>IF(G82="NO","Grasa multipropósitos",IF(AND(G82="SI"),"-"))</f>
        <v>Grasa multipropósitos</v>
      </c>
      <c r="C156" s="453"/>
      <c r="D156" s="193" t="str">
        <f>IF(G82="NO","kg",IF(AND(G82="SI"),"-"))</f>
        <v>kg</v>
      </c>
      <c r="E156" s="194" t="str">
        <f>IF(G82="NO","S/.",IF(AND(G82="SI"),"No considerar"))</f>
        <v>S/.</v>
      </c>
      <c r="F156" s="195">
        <v>20</v>
      </c>
      <c r="G156" s="194" t="str">
        <f t="shared" si="2"/>
        <v>S/.</v>
      </c>
      <c r="H156" s="422">
        <f t="shared" si="3"/>
        <v>16.949152542372882</v>
      </c>
    </row>
    <row r="157" spans="1:9" x14ac:dyDescent="0.25">
      <c r="A157" s="2"/>
      <c r="B157" s="196" t="str">
        <f>IF(F99="si","Acero de",IF(AND(F99="no"),"-"))</f>
        <v>Acero de</v>
      </c>
      <c r="C157" s="197" t="str">
        <f>IF(F99="si","3/8""",IF(AND(F99="no"),"-"))</f>
        <v>3/8"</v>
      </c>
      <c r="D157" s="198" t="str">
        <f>IF(F99="si","varilla",IF(AND(F99="no"),"-"))</f>
        <v>varilla</v>
      </c>
      <c r="E157" s="199" t="str">
        <f>IF(F99="si","S/.",IF(AND(F99="no"),"No considerar"))</f>
        <v>S/.</v>
      </c>
      <c r="F157" s="195">
        <v>25.23</v>
      </c>
      <c r="G157" s="194" t="str">
        <f t="shared" si="2"/>
        <v>S/.</v>
      </c>
      <c r="H157" s="422">
        <f t="shared" si="3"/>
        <v>21.381355932203391</v>
      </c>
    </row>
    <row r="158" spans="1:9" x14ac:dyDescent="0.25">
      <c r="A158" s="2"/>
      <c r="B158" s="196" t="str">
        <f>IF(F100="si","Acero de",IF(AND(F100="no"),"-"))</f>
        <v>Acero de</v>
      </c>
      <c r="C158" s="197" t="str">
        <f>IF(F100="si","1/2""",IF(AND(F100="no"),"-"))</f>
        <v>1/2"</v>
      </c>
      <c r="D158" s="198" t="str">
        <f>IF(F100="si","varilla",IF(AND(F100="no"),"-"))</f>
        <v>varilla</v>
      </c>
      <c r="E158" s="199" t="str">
        <f>IF(F100="si","S/.",IF(AND(F100="no"),"No considerar"))</f>
        <v>S/.</v>
      </c>
      <c r="F158" s="195">
        <v>45.2</v>
      </c>
      <c r="G158" s="194" t="str">
        <f t="shared" si="2"/>
        <v>S/.</v>
      </c>
      <c r="H158" s="422">
        <f t="shared" si="3"/>
        <v>38.305084745762713</v>
      </c>
    </row>
    <row r="159" spans="1:9" x14ac:dyDescent="0.25">
      <c r="A159" s="2"/>
      <c r="B159" s="196" t="str">
        <f>IF(F101="si","Acero de",IF(AND(F101="no"),"-"))</f>
        <v>-</v>
      </c>
      <c r="C159" s="197" t="str">
        <f>IF(F101="si","5/8""",IF(AND(F101="no"),"-"))</f>
        <v>-</v>
      </c>
      <c r="D159" s="198" t="str">
        <f>IF(F101="si","varilla",IF(AND(F101="no"),"-"))</f>
        <v>-</v>
      </c>
      <c r="E159" s="199" t="str">
        <f>IF(F101="si","S/.",IF(AND(F101="no"),"No considerar"))</f>
        <v>No considerar</v>
      </c>
      <c r="F159" s="195">
        <v>69.900000000000006</v>
      </c>
      <c r="G159" s="194" t="str">
        <f t="shared" si="2"/>
        <v>No considerar</v>
      </c>
      <c r="H159" s="422">
        <f t="shared" si="3"/>
        <v>59.237288135593225</v>
      </c>
    </row>
    <row r="160" spans="1:9" x14ac:dyDescent="0.25">
      <c r="A160" s="2"/>
      <c r="B160" s="196" t="s">
        <v>767</v>
      </c>
      <c r="C160" s="386" t="str">
        <f>F103</f>
        <v>6 mm</v>
      </c>
      <c r="D160" s="198" t="s">
        <v>768</v>
      </c>
      <c r="E160" s="199" t="s">
        <v>24</v>
      </c>
      <c r="F160" s="195">
        <v>10.29</v>
      </c>
      <c r="G160" s="194" t="str">
        <f t="shared" si="2"/>
        <v>S/.</v>
      </c>
      <c r="H160" s="422">
        <f t="shared" si="3"/>
        <v>8.7203389830508478</v>
      </c>
    </row>
    <row r="161" spans="1:9" ht="15" customHeight="1" x14ac:dyDescent="0.25">
      <c r="A161" s="2"/>
      <c r="B161" s="446" t="s">
        <v>275</v>
      </c>
      <c r="C161" s="446"/>
      <c r="D161" s="198" t="s">
        <v>169</v>
      </c>
      <c r="E161" s="199" t="s">
        <v>24</v>
      </c>
      <c r="F161" s="195">
        <v>5.7</v>
      </c>
      <c r="G161" s="194" t="str">
        <f t="shared" si="2"/>
        <v>S/.</v>
      </c>
      <c r="H161" s="422">
        <f t="shared" si="3"/>
        <v>4.8305084745762716</v>
      </c>
    </row>
    <row r="162" spans="1:9" ht="15.75" x14ac:dyDescent="0.25">
      <c r="A162" s="2"/>
      <c r="B162" s="579" t="s">
        <v>239</v>
      </c>
      <c r="C162" s="579"/>
      <c r="D162" s="193" t="s">
        <v>298</v>
      </c>
      <c r="E162" s="199" t="s">
        <v>24</v>
      </c>
      <c r="F162" s="195">
        <v>4.5</v>
      </c>
      <c r="G162" s="194" t="str">
        <f t="shared" si="2"/>
        <v>S/.</v>
      </c>
      <c r="H162" s="422">
        <f t="shared" si="3"/>
        <v>3.8135593220338984</v>
      </c>
    </row>
    <row r="163" spans="1:9" x14ac:dyDescent="0.25">
      <c r="A163" s="2"/>
      <c r="B163" s="446" t="s">
        <v>240</v>
      </c>
      <c r="C163" s="446"/>
      <c r="D163" s="193" t="s">
        <v>169</v>
      </c>
      <c r="E163" s="199" t="s">
        <v>24</v>
      </c>
      <c r="F163" s="195">
        <v>6.9</v>
      </c>
      <c r="G163" s="194" t="str">
        <f t="shared" si="2"/>
        <v>S/.</v>
      </c>
      <c r="H163" s="422">
        <f t="shared" si="3"/>
        <v>5.8474576271186445</v>
      </c>
    </row>
    <row r="164" spans="1:9" x14ac:dyDescent="0.25">
      <c r="A164" s="2"/>
      <c r="B164" s="2"/>
      <c r="C164" s="185"/>
      <c r="D164" s="185"/>
      <c r="E164" s="161"/>
      <c r="F164" s="200"/>
      <c r="G164" s="301"/>
      <c r="H164" s="2"/>
    </row>
    <row r="165" spans="1:9" x14ac:dyDescent="0.25">
      <c r="A165" s="2"/>
      <c r="B165" s="100" t="s">
        <v>152</v>
      </c>
      <c r="C165" s="120"/>
      <c r="D165" s="31"/>
      <c r="E165" s="32"/>
      <c r="F165" s="33"/>
      <c r="G165" s="2"/>
      <c r="H165" s="2"/>
      <c r="I165" s="2"/>
    </row>
    <row r="166" spans="1:9" x14ac:dyDescent="0.25">
      <c r="A166" s="28"/>
      <c r="B166" s="185"/>
      <c r="C166" s="185"/>
      <c r="D166" s="68"/>
      <c r="E166" s="259"/>
      <c r="F166" s="33"/>
      <c r="G166" s="32"/>
      <c r="H166" s="260"/>
      <c r="I166" s="2"/>
    </row>
    <row r="167" spans="1:9" x14ac:dyDescent="0.25">
      <c r="A167" s="28" t="s">
        <v>119</v>
      </c>
      <c r="B167" s="573" t="s">
        <v>26</v>
      </c>
      <c r="C167" s="574"/>
      <c r="D167" s="138" t="s">
        <v>123</v>
      </c>
      <c r="E167" s="584" t="s">
        <v>116</v>
      </c>
      <c r="F167" s="584"/>
      <c r="G167" s="577" t="s">
        <v>117</v>
      </c>
      <c r="H167" s="578"/>
      <c r="I167" s="2"/>
    </row>
    <row r="168" spans="1:9" x14ac:dyDescent="0.25">
      <c r="A168" s="28" t="s">
        <v>120</v>
      </c>
      <c r="B168" s="534" t="s">
        <v>264</v>
      </c>
      <c r="C168" s="535"/>
      <c r="D168" s="284" t="s">
        <v>396</v>
      </c>
      <c r="E168" s="115" t="s">
        <v>24</v>
      </c>
      <c r="F168" s="30">
        <v>10</v>
      </c>
      <c r="G168" s="29" t="s">
        <v>24</v>
      </c>
      <c r="H168" s="106">
        <f>F168/1.18</f>
        <v>8.4745762711864412</v>
      </c>
      <c r="I168" s="2"/>
    </row>
    <row r="169" spans="1:9" x14ac:dyDescent="0.25">
      <c r="A169" s="28"/>
      <c r="B169" s="534" t="s">
        <v>54</v>
      </c>
      <c r="C169" s="535"/>
      <c r="D169" s="284" t="s">
        <v>396</v>
      </c>
      <c r="E169" s="115" t="s">
        <v>24</v>
      </c>
      <c r="F169" s="30">
        <v>12</v>
      </c>
      <c r="G169" s="29" t="s">
        <v>24</v>
      </c>
      <c r="H169" s="106">
        <f t="shared" ref="H169" si="4">F169/1.18</f>
        <v>10.16949152542373</v>
      </c>
      <c r="I169" s="2"/>
    </row>
    <row r="170" spans="1:9" x14ac:dyDescent="0.25">
      <c r="A170" s="28" t="s">
        <v>119</v>
      </c>
      <c r="B170" s="286" t="s">
        <v>119</v>
      </c>
      <c r="C170" s="185"/>
      <c r="D170" s="68"/>
      <c r="E170" s="259"/>
      <c r="F170" s="33"/>
      <c r="G170" s="32"/>
      <c r="H170" s="260"/>
      <c r="I170" s="2"/>
    </row>
    <row r="171" spans="1:9" x14ac:dyDescent="0.25">
      <c r="A171" s="28" t="s">
        <v>120</v>
      </c>
      <c r="B171" s="287" t="s">
        <v>120</v>
      </c>
      <c r="C171" s="31"/>
      <c r="D171" s="31"/>
      <c r="E171" s="32"/>
      <c r="F171" s="33"/>
      <c r="G171" s="2"/>
      <c r="H171" s="2"/>
      <c r="I171" s="2"/>
    </row>
    <row r="172" spans="1:9" x14ac:dyDescent="0.25">
      <c r="A172" s="164"/>
      <c r="B172" s="455" t="s">
        <v>179</v>
      </c>
      <c r="C172" s="455"/>
      <c r="D172" s="564"/>
      <c r="E172" s="17" t="s">
        <v>120</v>
      </c>
      <c r="F172" s="565" t="s">
        <v>149</v>
      </c>
      <c r="G172" s="565"/>
      <c r="H172" s="2"/>
    </row>
    <row r="173" spans="1:9" x14ac:dyDescent="0.25">
      <c r="A173" s="2"/>
      <c r="B173" s="18"/>
      <c r="C173" s="31"/>
      <c r="D173" s="31"/>
      <c r="E173" s="32"/>
      <c r="F173" s="565"/>
      <c r="G173" s="565"/>
      <c r="H173" s="2"/>
      <c r="I173" s="2"/>
    </row>
    <row r="174" spans="1:9" x14ac:dyDescent="0.25">
      <c r="A174" s="2"/>
      <c r="B174" s="18"/>
      <c r="C174" s="31"/>
      <c r="D174" s="31"/>
      <c r="E174" s="32"/>
      <c r="F174" s="33"/>
      <c r="G174" s="2"/>
      <c r="H174" s="2"/>
      <c r="I174" s="2"/>
    </row>
    <row r="175" spans="1:9" x14ac:dyDescent="0.25">
      <c r="A175" s="2"/>
      <c r="B175" s="18"/>
      <c r="C175" s="31"/>
      <c r="D175" s="31"/>
      <c r="E175" s="32"/>
      <c r="F175" s="33"/>
      <c r="G175" s="2"/>
      <c r="H175" s="2"/>
      <c r="I175" s="2"/>
    </row>
    <row r="176" spans="1:9" x14ac:dyDescent="0.25">
      <c r="A176" s="2"/>
      <c r="B176" s="100" t="s">
        <v>144</v>
      </c>
      <c r="C176" s="120"/>
      <c r="D176" s="31"/>
      <c r="E176" s="32"/>
      <c r="F176" s="33"/>
      <c r="G176" s="2"/>
      <c r="H176" s="2"/>
      <c r="I176" s="2"/>
    </row>
    <row r="177" spans="1:9" x14ac:dyDescent="0.25">
      <c r="A177" s="2"/>
      <c r="B177" s="18"/>
      <c r="C177" s="31"/>
      <c r="D177" s="31"/>
      <c r="E177" s="32"/>
      <c r="F177" s="33"/>
      <c r="G177" s="2"/>
      <c r="H177" s="2"/>
      <c r="I177" s="2"/>
    </row>
    <row r="178" spans="1:9" x14ac:dyDescent="0.25">
      <c r="A178" s="2"/>
      <c r="B178" s="567" t="s">
        <v>124</v>
      </c>
      <c r="C178" s="568"/>
      <c r="D178" s="568"/>
      <c r="E178" s="568"/>
      <c r="F178" s="568"/>
      <c r="G178" s="569"/>
      <c r="H178" s="2"/>
      <c r="I178" s="2"/>
    </row>
    <row r="179" spans="1:9" x14ac:dyDescent="0.25">
      <c r="A179" s="2"/>
      <c r="B179" s="570" t="s">
        <v>125</v>
      </c>
      <c r="C179" s="571"/>
      <c r="D179" s="571"/>
      <c r="E179" s="571"/>
      <c r="F179" s="571"/>
      <c r="G179" s="572"/>
      <c r="H179" s="2"/>
      <c r="I179" s="2"/>
    </row>
    <row r="180" spans="1:9" x14ac:dyDescent="0.25">
      <c r="A180" s="2"/>
      <c r="B180" s="524" t="s">
        <v>126</v>
      </c>
      <c r="C180" s="524"/>
      <c r="D180" s="524"/>
      <c r="E180" s="117" t="s">
        <v>12</v>
      </c>
      <c r="F180" s="118" t="s">
        <v>13</v>
      </c>
      <c r="G180" s="117" t="s">
        <v>14</v>
      </c>
      <c r="H180" s="2"/>
      <c r="I180" s="2"/>
    </row>
    <row r="181" spans="1:9" x14ac:dyDescent="0.25">
      <c r="A181" s="2"/>
      <c r="B181" s="525" t="s">
        <v>127</v>
      </c>
      <c r="C181" s="525"/>
      <c r="D181" s="525"/>
      <c r="E181" s="112">
        <v>74.3</v>
      </c>
      <c r="F181" s="112">
        <v>58.45</v>
      </c>
      <c r="G181" s="112">
        <v>52.5</v>
      </c>
      <c r="H181" s="2"/>
      <c r="I181" s="2"/>
    </row>
    <row r="182" spans="1:9" x14ac:dyDescent="0.25">
      <c r="A182" s="2"/>
      <c r="B182" s="526" t="s">
        <v>128</v>
      </c>
      <c r="C182" s="526"/>
      <c r="D182" s="526"/>
      <c r="E182" s="84"/>
      <c r="F182" s="112"/>
      <c r="G182" s="112"/>
      <c r="H182" s="2"/>
      <c r="I182" s="2"/>
    </row>
    <row r="183" spans="1:9" x14ac:dyDescent="0.25">
      <c r="A183" s="2"/>
      <c r="B183" s="121"/>
      <c r="C183" s="122" t="s">
        <v>12</v>
      </c>
      <c r="D183" s="123">
        <v>0.32</v>
      </c>
      <c r="E183" s="84">
        <f>D183*E181</f>
        <v>23.776</v>
      </c>
      <c r="F183" s="112"/>
      <c r="G183" s="112"/>
      <c r="H183" s="2"/>
      <c r="I183" s="2"/>
    </row>
    <row r="184" spans="1:9" x14ac:dyDescent="0.25">
      <c r="A184" s="2"/>
      <c r="B184" s="124"/>
      <c r="C184" s="125" t="s">
        <v>13</v>
      </c>
      <c r="D184" s="126">
        <v>0.3</v>
      </c>
      <c r="E184" s="84"/>
      <c r="F184" s="112">
        <f>D184*F181</f>
        <v>17.535</v>
      </c>
      <c r="G184" s="112"/>
      <c r="H184" s="2"/>
      <c r="I184" s="2"/>
    </row>
    <row r="185" spans="1:9" x14ac:dyDescent="0.25">
      <c r="A185" s="2"/>
      <c r="B185" s="124"/>
      <c r="C185" s="125" t="s">
        <v>14</v>
      </c>
      <c r="D185" s="126">
        <v>0.3</v>
      </c>
      <c r="E185" s="84"/>
      <c r="F185" s="112"/>
      <c r="G185" s="112">
        <f>D185*G181</f>
        <v>15.75</v>
      </c>
      <c r="H185" s="2"/>
      <c r="I185" s="2"/>
    </row>
    <row r="186" spans="1:9" ht="15" customHeight="1" x14ac:dyDescent="0.25">
      <c r="A186" s="2"/>
      <c r="B186" s="527" t="s">
        <v>129</v>
      </c>
      <c r="C186" s="528"/>
      <c r="D186" s="127">
        <v>1.1345000000000001</v>
      </c>
      <c r="E186" s="84">
        <f>D186*E181</f>
        <v>84.293350000000004</v>
      </c>
      <c r="F186" s="112">
        <f>D186*F181</f>
        <v>66.311525000000003</v>
      </c>
      <c r="G186" s="112">
        <f>D186*G181</f>
        <v>59.561250000000001</v>
      </c>
      <c r="H186" s="2"/>
      <c r="I186" s="2"/>
    </row>
    <row r="187" spans="1:9" ht="15" customHeight="1" x14ac:dyDescent="0.25">
      <c r="A187" s="2"/>
      <c r="B187" s="527" t="s">
        <v>130</v>
      </c>
      <c r="C187" s="528"/>
      <c r="D187" s="128">
        <v>0.12</v>
      </c>
      <c r="E187" s="84">
        <f>D187*E183</f>
        <v>2.8531199999999997</v>
      </c>
      <c r="F187" s="112">
        <f>D187*F184</f>
        <v>2.1042000000000001</v>
      </c>
      <c r="G187" s="112">
        <f>D187*G185</f>
        <v>1.89</v>
      </c>
      <c r="H187" s="2"/>
      <c r="I187" s="2"/>
    </row>
    <row r="188" spans="1:9" x14ac:dyDescent="0.25">
      <c r="A188" s="2"/>
      <c r="B188" s="526" t="s">
        <v>131</v>
      </c>
      <c r="C188" s="526"/>
      <c r="D188" s="526"/>
      <c r="E188" s="84">
        <v>8</v>
      </c>
      <c r="F188" s="112">
        <v>8</v>
      </c>
      <c r="G188" s="112">
        <v>8</v>
      </c>
      <c r="H188" s="2"/>
      <c r="I188" s="2"/>
    </row>
    <row r="189" spans="1:9" x14ac:dyDescent="0.25">
      <c r="A189" s="2"/>
      <c r="B189" s="526" t="s">
        <v>132</v>
      </c>
      <c r="C189" s="526"/>
      <c r="D189" s="526"/>
      <c r="E189" s="84">
        <v>0.4</v>
      </c>
      <c r="F189" s="112">
        <v>0.4</v>
      </c>
      <c r="G189" s="112">
        <v>0.4</v>
      </c>
      <c r="H189" s="2"/>
      <c r="I189" s="2"/>
    </row>
    <row r="190" spans="1:9" x14ac:dyDescent="0.25">
      <c r="A190" s="2"/>
      <c r="B190" s="526" t="s">
        <v>133</v>
      </c>
      <c r="C190" s="526"/>
      <c r="D190" s="526"/>
      <c r="E190" s="84">
        <v>0.17</v>
      </c>
      <c r="F190" s="112">
        <v>0.17</v>
      </c>
      <c r="G190" s="112">
        <v>0.17</v>
      </c>
      <c r="H190" s="2"/>
      <c r="I190" s="2"/>
    </row>
    <row r="191" spans="1:9" x14ac:dyDescent="0.25">
      <c r="A191" s="2"/>
      <c r="B191" s="636" t="s">
        <v>134</v>
      </c>
      <c r="C191" s="636"/>
      <c r="D191" s="636"/>
      <c r="E191" s="119">
        <f>E181+E183+E186+E187+E188+E189+E190</f>
        <v>193.79246999999998</v>
      </c>
      <c r="F191" s="118">
        <f>F181+F184+F186+F187+F188+F189+F190</f>
        <v>152.97072499999999</v>
      </c>
      <c r="G191" s="118">
        <f>G181+G185+G186+G187+G188+G189+G190</f>
        <v>138.27124999999998</v>
      </c>
      <c r="H191" s="2"/>
      <c r="I191" s="2"/>
    </row>
    <row r="192" spans="1:9" x14ac:dyDescent="0.25">
      <c r="A192" s="2"/>
      <c r="B192" s="636" t="s">
        <v>135</v>
      </c>
      <c r="C192" s="636"/>
      <c r="D192" s="636"/>
      <c r="E192" s="119">
        <f>E191/8</f>
        <v>24.224058749999998</v>
      </c>
      <c r="F192" s="118">
        <f>F191/8</f>
        <v>19.121340624999998</v>
      </c>
      <c r="G192" s="118">
        <f>G191/8</f>
        <v>17.283906249999998</v>
      </c>
      <c r="H192" s="2"/>
      <c r="I192" s="2"/>
    </row>
    <row r="193" spans="1:9" x14ac:dyDescent="0.25">
      <c r="A193" s="2"/>
      <c r="B193" s="18"/>
      <c r="C193" s="31"/>
      <c r="D193" s="31"/>
      <c r="E193" s="32"/>
      <c r="F193" s="33"/>
      <c r="G193" s="2"/>
      <c r="H193" s="2"/>
      <c r="I193" s="2"/>
    </row>
    <row r="194" spans="1:9" x14ac:dyDescent="0.25">
      <c r="A194" s="2"/>
      <c r="B194" s="580" t="s">
        <v>136</v>
      </c>
      <c r="C194" s="581"/>
      <c r="D194" s="581"/>
      <c r="E194" s="581"/>
      <c r="F194" s="581"/>
      <c r="G194" s="582"/>
      <c r="H194" s="2"/>
      <c r="I194" s="2"/>
    </row>
    <row r="195" spans="1:9" x14ac:dyDescent="0.25">
      <c r="A195" s="2"/>
      <c r="B195" s="129" t="s">
        <v>137</v>
      </c>
      <c r="C195" s="130"/>
      <c r="D195" s="131"/>
      <c r="E195" s="113">
        <v>1.1000000000000001</v>
      </c>
      <c r="F195" s="114" t="s">
        <v>140</v>
      </c>
      <c r="G195" s="111">
        <f>E195*E192</f>
        <v>26.646464625</v>
      </c>
      <c r="H195" s="2"/>
      <c r="I195" s="2"/>
    </row>
    <row r="196" spans="1:9" x14ac:dyDescent="0.25">
      <c r="A196" s="2"/>
      <c r="B196" s="129" t="s">
        <v>12</v>
      </c>
      <c r="C196" s="130"/>
      <c r="D196" s="131"/>
      <c r="E196" s="113"/>
      <c r="F196" s="114"/>
      <c r="G196" s="111">
        <f>E192</f>
        <v>24.224058749999998</v>
      </c>
      <c r="H196" s="2"/>
      <c r="I196" s="2"/>
    </row>
    <row r="197" spans="1:9" x14ac:dyDescent="0.25">
      <c r="A197" s="2"/>
      <c r="B197" s="129" t="s">
        <v>13</v>
      </c>
      <c r="C197" s="130"/>
      <c r="D197" s="131"/>
      <c r="E197" s="115"/>
      <c r="F197" s="116"/>
      <c r="G197" s="111">
        <f>F192</f>
        <v>19.121340624999998</v>
      </c>
      <c r="H197" s="2"/>
      <c r="I197" s="2"/>
    </row>
    <row r="198" spans="1:9" x14ac:dyDescent="0.25">
      <c r="A198" s="2"/>
      <c r="B198" s="129" t="s">
        <v>14</v>
      </c>
      <c r="C198" s="130"/>
      <c r="D198" s="131"/>
      <c r="E198" s="115"/>
      <c r="F198" s="116"/>
      <c r="G198" s="111">
        <f>G192</f>
        <v>17.283906249999998</v>
      </c>
      <c r="H198" s="2"/>
      <c r="I198" s="2"/>
    </row>
    <row r="199" spans="1:9" ht="15" customHeight="1" x14ac:dyDescent="0.25">
      <c r="A199" s="2"/>
      <c r="B199" s="129" t="s">
        <v>138</v>
      </c>
      <c r="C199" s="130"/>
      <c r="D199" s="131"/>
      <c r="E199" s="113">
        <v>1</v>
      </c>
      <c r="F199" s="114" t="s">
        <v>141</v>
      </c>
      <c r="G199" s="111">
        <f>E199*F192</f>
        <v>19.121340624999998</v>
      </c>
      <c r="H199" s="2"/>
      <c r="I199" s="2"/>
    </row>
    <row r="200" spans="1:9" x14ac:dyDescent="0.25">
      <c r="A200" s="2"/>
      <c r="B200" s="630" t="s">
        <v>25</v>
      </c>
      <c r="C200" s="631"/>
      <c r="D200" s="632"/>
      <c r="E200" s="113">
        <v>1.08</v>
      </c>
      <c r="F200" s="114" t="s">
        <v>140</v>
      </c>
      <c r="G200" s="111">
        <f>E200*E192</f>
        <v>26.161983449999997</v>
      </c>
      <c r="H200" s="2"/>
      <c r="I200" s="2"/>
    </row>
    <row r="201" spans="1:9" x14ac:dyDescent="0.25">
      <c r="A201" s="2"/>
      <c r="B201" s="630" t="s">
        <v>139</v>
      </c>
      <c r="C201" s="631"/>
      <c r="D201" s="632"/>
      <c r="E201" s="113">
        <v>1.1000000000000001</v>
      </c>
      <c r="F201" s="114" t="s">
        <v>140</v>
      </c>
      <c r="G201" s="111">
        <f>E201*E192</f>
        <v>26.646464625</v>
      </c>
      <c r="H201" s="2"/>
      <c r="I201" s="2"/>
    </row>
    <row r="202" spans="1:9" x14ac:dyDescent="0.25">
      <c r="A202" s="2"/>
      <c r="B202" s="633" t="s">
        <v>142</v>
      </c>
      <c r="C202" s="633"/>
      <c r="D202" s="633"/>
      <c r="E202" s="633"/>
      <c r="F202" s="633"/>
      <c r="G202" s="633"/>
      <c r="H202" s="2"/>
      <c r="I202" s="2"/>
    </row>
    <row r="203" spans="1:9" x14ac:dyDescent="0.25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5">
      <c r="A204" s="28" t="s">
        <v>147</v>
      </c>
      <c r="B204" s="132" t="s">
        <v>145</v>
      </c>
      <c r="C204" s="133"/>
      <c r="D204" s="136">
        <v>4600</v>
      </c>
      <c r="E204" s="32" t="s">
        <v>146</v>
      </c>
      <c r="F204" s="134">
        <f>50*D204</f>
        <v>230000</v>
      </c>
      <c r="G204" s="2"/>
      <c r="H204" s="2"/>
      <c r="I204" s="2"/>
    </row>
    <row r="205" spans="1:9" x14ac:dyDescent="0.25">
      <c r="A205" s="28" t="s">
        <v>148</v>
      </c>
      <c r="B205" s="18"/>
      <c r="C205" s="31"/>
      <c r="D205" s="31"/>
      <c r="E205" s="32"/>
      <c r="F205" s="33"/>
      <c r="G205" s="2"/>
      <c r="H205" s="2"/>
      <c r="I205" s="2"/>
    </row>
    <row r="206" spans="1:9" x14ac:dyDescent="0.25">
      <c r="A206" s="28" t="s">
        <v>147</v>
      </c>
      <c r="B206" s="456" t="s">
        <v>351</v>
      </c>
      <c r="C206" s="634"/>
      <c r="D206" s="17" t="s">
        <v>147</v>
      </c>
      <c r="E206" s="635" t="s">
        <v>150</v>
      </c>
      <c r="F206" s="635"/>
      <c r="G206" s="2"/>
      <c r="I206" s="2"/>
    </row>
    <row r="207" spans="1:9" x14ac:dyDescent="0.25">
      <c r="A207" s="28" t="s">
        <v>148</v>
      </c>
      <c r="B207" s="18"/>
      <c r="C207" s="31"/>
      <c r="D207" s="31"/>
      <c r="E207" s="635"/>
      <c r="F207" s="635"/>
      <c r="G207" s="2"/>
      <c r="H207" s="2"/>
      <c r="I207" s="2"/>
    </row>
    <row r="208" spans="1:9" x14ac:dyDescent="0.25">
      <c r="A208" s="2"/>
      <c r="B208" s="18"/>
      <c r="C208" s="31"/>
      <c r="D208" s="31"/>
      <c r="E208" s="32"/>
      <c r="F208" s="33"/>
      <c r="G208" s="2"/>
      <c r="H208" s="2"/>
      <c r="I208" s="2"/>
    </row>
    <row r="209" spans="1:10" x14ac:dyDescent="0.25">
      <c r="A209" s="2"/>
      <c r="B209" s="2"/>
      <c r="C209" s="2"/>
      <c r="D209" s="2"/>
      <c r="E209" s="2"/>
      <c r="F209" s="2"/>
      <c r="G209" s="2"/>
      <c r="H209" s="2"/>
      <c r="I209" s="2"/>
    </row>
    <row r="210" spans="1:10" x14ac:dyDescent="0.25">
      <c r="A210" s="2"/>
      <c r="B210" s="2"/>
      <c r="C210" s="2"/>
      <c r="D210" s="2"/>
      <c r="E210" s="2"/>
      <c r="F210" s="2"/>
      <c r="G210" s="2"/>
      <c r="H210" s="2"/>
      <c r="I210" s="2"/>
    </row>
    <row r="211" spans="1:10" x14ac:dyDescent="0.25">
      <c r="A211" s="2"/>
      <c r="B211" s="2"/>
      <c r="C211" s="201"/>
      <c r="D211" s="201"/>
      <c r="E211" s="68"/>
      <c r="F211" s="32"/>
      <c r="G211" s="34"/>
      <c r="H211" s="2"/>
    </row>
    <row r="212" spans="1:10" ht="15" customHeight="1" x14ac:dyDescent="0.25">
      <c r="A212" s="2"/>
      <c r="B212" s="2"/>
      <c r="C212" s="201"/>
      <c r="D212" s="201"/>
      <c r="E212" s="68"/>
      <c r="F212" s="32"/>
      <c r="G212" s="560" t="s">
        <v>28</v>
      </c>
      <c r="H212" s="560"/>
    </row>
    <row r="213" spans="1:10" x14ac:dyDescent="0.25">
      <c r="A213" s="411" t="s">
        <v>769</v>
      </c>
      <c r="B213" s="239"/>
      <c r="C213" s="239"/>
      <c r="D213" s="239"/>
      <c r="E213" s="423"/>
      <c r="F213" s="2"/>
      <c r="G213" s="560"/>
      <c r="H213" s="560"/>
    </row>
    <row r="214" spans="1:10" x14ac:dyDescent="0.25">
      <c r="A214" s="2"/>
      <c r="B214" s="2"/>
      <c r="C214" s="201"/>
      <c r="D214" s="201"/>
      <c r="E214" s="68"/>
      <c r="F214" s="32"/>
      <c r="G214" s="560"/>
      <c r="H214" s="560"/>
    </row>
    <row r="215" spans="1:10" ht="15.75" x14ac:dyDescent="0.25">
      <c r="A215" s="2"/>
      <c r="B215" s="2"/>
      <c r="C215" s="424" t="s">
        <v>770</v>
      </c>
      <c r="D215" s="425"/>
      <c r="E215" s="426"/>
      <c r="F215" s="427">
        <v>70</v>
      </c>
      <c r="G215" s="428" t="s">
        <v>300</v>
      </c>
      <c r="H215" s="816"/>
    </row>
    <row r="216" spans="1:10" ht="15.75" x14ac:dyDescent="0.25">
      <c r="A216" s="2"/>
      <c r="B216" s="545" t="s">
        <v>242</v>
      </c>
      <c r="C216" s="424" t="s">
        <v>771</v>
      </c>
      <c r="D216" s="425"/>
      <c r="E216" s="426"/>
      <c r="F216" s="427">
        <v>60</v>
      </c>
      <c r="G216" s="428" t="s">
        <v>300</v>
      </c>
      <c r="H216" s="816"/>
    </row>
    <row r="217" spans="1:10" x14ac:dyDescent="0.25">
      <c r="A217" s="2"/>
      <c r="B217" s="545"/>
      <c r="C217" s="429" t="str">
        <f>IF(F99="si"," -ACERO DE",IF(AND(F99="no"),"-"))</f>
        <v xml:space="preserve"> -ACERO DE</v>
      </c>
      <c r="D217" s="425" t="str">
        <f>IF(F99="si","3/8""",IF(AND(F99="no"),"-"))</f>
        <v>3/8"</v>
      </c>
      <c r="E217" s="426"/>
      <c r="F217" s="427">
        <v>300</v>
      </c>
      <c r="G217" s="428" t="str">
        <f>IF(F99="si","kg",IF(AND(F99="no"),"-"))</f>
        <v>kg</v>
      </c>
      <c r="H217" s="816"/>
      <c r="J217" s="54"/>
    </row>
    <row r="218" spans="1:10" x14ac:dyDescent="0.25">
      <c r="A218" s="2"/>
      <c r="B218" s="545"/>
      <c r="C218" s="429" t="str">
        <f>IF(F100="si"," -ACERO DE",IF(AND(F100="no"),"-"))</f>
        <v xml:space="preserve"> -ACERO DE</v>
      </c>
      <c r="D218" s="425" t="str">
        <f>IF(F100="si","1/2""",IF(AND(F100="no"),"-"))</f>
        <v>1/2"</v>
      </c>
      <c r="E218" s="426"/>
      <c r="F218" s="427">
        <v>750</v>
      </c>
      <c r="G218" s="428" t="str">
        <f>IF(F100="si","kg",IF(AND(F100="no"),"-"))</f>
        <v>kg</v>
      </c>
      <c r="H218" s="816"/>
    </row>
    <row r="219" spans="1:10" x14ac:dyDescent="0.25">
      <c r="A219" s="2"/>
      <c r="B219" s="545"/>
      <c r="C219" s="429" t="str">
        <f>IF(F101="si"," -ACERO DE",IF(AND(F101="no"),"-"))</f>
        <v>-</v>
      </c>
      <c r="D219" s="425" t="str">
        <f>IF(F101="si","5/8""",IF(AND(F101="no"),"-"))</f>
        <v>-</v>
      </c>
      <c r="E219" s="426"/>
      <c r="F219" s="427">
        <v>0</v>
      </c>
      <c r="G219" s="428" t="str">
        <f>IF(F101="si","kg",IF(AND(F101="no"),"-"))</f>
        <v>-</v>
      </c>
      <c r="H219" s="816"/>
    </row>
    <row r="220" spans="1:10" x14ac:dyDescent="0.25">
      <c r="A220" s="2"/>
      <c r="B220" s="2"/>
      <c r="C220" s="430" t="s">
        <v>772</v>
      </c>
      <c r="D220" s="425" t="str">
        <f>F103</f>
        <v>6 mm</v>
      </c>
      <c r="E220" s="426"/>
      <c r="F220" s="427">
        <v>200</v>
      </c>
      <c r="G220" s="428" t="s">
        <v>169</v>
      </c>
      <c r="H220" s="816"/>
    </row>
    <row r="221" spans="1:10" x14ac:dyDescent="0.25">
      <c r="A221" s="2"/>
      <c r="B221" s="2"/>
      <c r="C221" s="201"/>
      <c r="D221" s="201"/>
      <c r="E221" s="68"/>
      <c r="F221" s="32"/>
      <c r="G221" s="34"/>
      <c r="H221" s="2"/>
      <c r="J221" s="211"/>
    </row>
    <row r="222" spans="1:10" x14ac:dyDescent="0.25">
      <c r="A222" s="2"/>
      <c r="B222" s="2"/>
      <c r="C222" s="201"/>
      <c r="D222" s="201"/>
      <c r="E222" s="68"/>
      <c r="F222" s="32"/>
      <c r="G222" s="34"/>
      <c r="H222" s="2"/>
      <c r="J222" s="211"/>
    </row>
    <row r="223" spans="1:10" x14ac:dyDescent="0.25">
      <c r="A223" s="2"/>
      <c r="B223" s="2"/>
      <c r="C223" s="201"/>
      <c r="D223" s="201"/>
      <c r="E223" s="68"/>
      <c r="F223" s="32"/>
      <c r="G223" s="34"/>
      <c r="H223" s="2"/>
      <c r="J223" s="211"/>
    </row>
    <row r="224" spans="1:10" x14ac:dyDescent="0.25">
      <c r="A224" s="817" t="s">
        <v>773</v>
      </c>
      <c r="B224" s="817"/>
      <c r="C224" s="817"/>
      <c r="D224" s="2"/>
      <c r="E224" s="2"/>
      <c r="F224" s="2"/>
      <c r="G224" s="2"/>
      <c r="H224" s="2"/>
    </row>
    <row r="225" spans="1:8" x14ac:dyDescent="0.25">
      <c r="A225" s="212"/>
      <c r="B225" s="212"/>
      <c r="C225" s="212"/>
      <c r="D225" s="2"/>
      <c r="E225" s="2"/>
      <c r="F225" s="2"/>
      <c r="G225" s="2"/>
      <c r="H225" s="2"/>
    </row>
    <row r="226" spans="1:8" x14ac:dyDescent="0.25">
      <c r="A226" s="411" t="s">
        <v>774</v>
      </c>
      <c r="B226" s="239"/>
      <c r="C226" s="239"/>
      <c r="D226" s="2"/>
      <c r="E226" s="2"/>
      <c r="F226" s="2"/>
      <c r="G226" s="2"/>
      <c r="H226" s="2"/>
    </row>
    <row r="227" spans="1:8" x14ac:dyDescent="0.25">
      <c r="A227" s="2"/>
      <c r="B227" s="22" t="s">
        <v>775</v>
      </c>
      <c r="C227" s="2"/>
      <c r="D227" s="2"/>
      <c r="E227" s="2"/>
      <c r="F227" s="2"/>
      <c r="G227" s="2"/>
      <c r="H227" s="2"/>
    </row>
    <row r="228" spans="1:8" x14ac:dyDescent="0.25">
      <c r="A228" s="2"/>
      <c r="B228" s="22"/>
      <c r="C228" s="2"/>
      <c r="D228" s="2"/>
      <c r="E228" s="2"/>
      <c r="F228" s="2"/>
      <c r="G228" s="2"/>
      <c r="H228" s="2"/>
    </row>
    <row r="229" spans="1:8" x14ac:dyDescent="0.25">
      <c r="A229" s="2"/>
      <c r="B229" s="2"/>
      <c r="C229" s="2"/>
      <c r="D229" s="2"/>
      <c r="E229" s="2"/>
      <c r="F229" s="2"/>
      <c r="G229" s="2"/>
      <c r="H229" s="2"/>
    </row>
    <row r="230" spans="1:8" x14ac:dyDescent="0.25">
      <c r="A230" s="2"/>
      <c r="B230" s="2"/>
      <c r="C230" s="2"/>
      <c r="D230" s="2"/>
      <c r="E230" s="2"/>
      <c r="F230" s="2"/>
      <c r="G230" s="2"/>
      <c r="H230" s="2"/>
    </row>
    <row r="231" spans="1:8" x14ac:dyDescent="0.25">
      <c r="A231" s="2"/>
      <c r="B231" s="2"/>
      <c r="C231" s="2"/>
      <c r="D231" s="2"/>
      <c r="E231" s="2"/>
      <c r="F231" s="2"/>
      <c r="G231" s="2"/>
      <c r="H231" s="2"/>
    </row>
    <row r="232" spans="1:8" x14ac:dyDescent="0.25">
      <c r="A232" s="2"/>
      <c r="B232" s="2"/>
      <c r="C232" s="25" t="s">
        <v>776</v>
      </c>
      <c r="D232" s="2"/>
      <c r="E232" s="2"/>
      <c r="F232" s="2"/>
      <c r="G232" s="2"/>
      <c r="H232" s="2"/>
    </row>
    <row r="233" spans="1:8" x14ac:dyDescent="0.25">
      <c r="A233" s="2"/>
      <c r="B233" s="2"/>
      <c r="C233" s="25" t="s">
        <v>777</v>
      </c>
      <c r="D233" s="2"/>
      <c r="E233" s="2"/>
      <c r="F233" s="2"/>
      <c r="G233" s="2"/>
      <c r="H233" s="2"/>
    </row>
    <row r="234" spans="1:8" x14ac:dyDescent="0.25">
      <c r="A234" s="2"/>
      <c r="B234" s="2"/>
      <c r="C234" s="25" t="s">
        <v>778</v>
      </c>
      <c r="D234" s="2"/>
      <c r="E234" s="2"/>
      <c r="F234" s="2"/>
      <c r="G234" s="2"/>
      <c r="H234" s="2"/>
    </row>
    <row r="235" spans="1:8" x14ac:dyDescent="0.25">
      <c r="A235" s="2"/>
      <c r="B235" s="2"/>
      <c r="C235" s="25" t="s">
        <v>779</v>
      </c>
      <c r="D235" s="2"/>
      <c r="E235" s="2"/>
      <c r="F235" s="2"/>
      <c r="G235" s="2"/>
      <c r="H235" s="2"/>
    </row>
    <row r="236" spans="1:8" x14ac:dyDescent="0.25">
      <c r="A236" s="2"/>
      <c r="B236" s="2"/>
      <c r="C236" s="2"/>
      <c r="D236" s="2"/>
      <c r="E236" s="2"/>
      <c r="F236" s="2"/>
      <c r="G236" s="2"/>
      <c r="H236" s="2"/>
    </row>
    <row r="237" spans="1:8" x14ac:dyDescent="0.25">
      <c r="A237" s="2"/>
      <c r="B237" s="2"/>
      <c r="C237" s="814" t="s">
        <v>780</v>
      </c>
      <c r="D237" s="815"/>
      <c r="E237" s="818" t="str">
        <f>F27</f>
        <v>ladrillo hueco</v>
      </c>
      <c r="F237" s="596"/>
      <c r="G237" s="2"/>
      <c r="H237" s="2"/>
    </row>
    <row r="238" spans="1:8" x14ac:dyDescent="0.25">
      <c r="A238" s="2"/>
      <c r="B238" s="2"/>
      <c r="C238" s="161" t="s">
        <v>781</v>
      </c>
      <c r="D238" s="179">
        <f>(IF(E237=C25,G35,IF(AND(E237=C26),G48)))/100</f>
        <v>0.3</v>
      </c>
      <c r="E238" s="2" t="s">
        <v>257</v>
      </c>
      <c r="F238" s="2"/>
      <c r="G238" s="2"/>
      <c r="H238" s="2"/>
    </row>
    <row r="239" spans="1:8" x14ac:dyDescent="0.25">
      <c r="A239" s="2"/>
      <c r="B239" s="2"/>
      <c r="C239" s="161" t="s">
        <v>782</v>
      </c>
      <c r="D239" s="179">
        <v>0.1</v>
      </c>
      <c r="E239" s="2" t="s">
        <v>257</v>
      </c>
      <c r="F239" s="2"/>
      <c r="G239" s="2"/>
      <c r="H239" s="2"/>
    </row>
    <row r="240" spans="1:8" x14ac:dyDescent="0.25">
      <c r="A240" s="2"/>
      <c r="B240" s="2"/>
      <c r="C240" s="161" t="s">
        <v>783</v>
      </c>
      <c r="D240" s="179">
        <f>(IF(E237=C25,G39,IF(AND(E237=C26),G52)))/100</f>
        <v>0.3</v>
      </c>
      <c r="E240" s="2" t="s">
        <v>257</v>
      </c>
      <c r="F240" s="2"/>
      <c r="G240" s="2"/>
      <c r="H240" s="2"/>
    </row>
    <row r="241" spans="1:11" x14ac:dyDescent="0.25">
      <c r="A241" s="2"/>
      <c r="B241" s="2"/>
      <c r="C241" s="431" t="s">
        <v>784</v>
      </c>
      <c r="D241" s="213">
        <f>1/((D238+D239)*D240)</f>
        <v>8.3333333333333339</v>
      </c>
      <c r="E241" s="214" t="s">
        <v>533</v>
      </c>
      <c r="F241" s="2"/>
      <c r="G241" s="2"/>
      <c r="H241" s="2"/>
    </row>
    <row r="242" spans="1:11" x14ac:dyDescent="0.25">
      <c r="A242" s="2"/>
      <c r="B242" s="2"/>
      <c r="C242" s="2"/>
      <c r="D242" s="2"/>
      <c r="E242" s="2"/>
      <c r="F242" s="2"/>
      <c r="G242" s="2"/>
      <c r="H242" s="2"/>
    </row>
    <row r="243" spans="1:11" x14ac:dyDescent="0.25">
      <c r="A243" s="2"/>
      <c r="B243" s="2"/>
      <c r="C243" s="2"/>
      <c r="D243" s="2"/>
      <c r="E243" s="2"/>
      <c r="F243" s="2"/>
      <c r="G243" s="2"/>
      <c r="H243" s="2"/>
    </row>
    <row r="244" spans="1:11" x14ac:dyDescent="0.25">
      <c r="A244" s="22"/>
      <c r="B244" s="22" t="s">
        <v>785</v>
      </c>
      <c r="C244" s="2"/>
      <c r="D244" s="2"/>
      <c r="E244" s="2"/>
      <c r="F244" s="2"/>
      <c r="G244" s="2"/>
      <c r="H244" s="2"/>
    </row>
    <row r="245" spans="1:11" x14ac:dyDescent="0.25">
      <c r="A245" s="2"/>
      <c r="B245" s="2"/>
      <c r="C245" s="143" t="s">
        <v>786</v>
      </c>
      <c r="D245" s="2"/>
      <c r="E245" s="175">
        <f>D241</f>
        <v>8.3333333333333339</v>
      </c>
      <c r="F245" s="358" t="s">
        <v>582</v>
      </c>
      <c r="G245" s="2"/>
      <c r="H245" s="2"/>
    </row>
    <row r="246" spans="1:11" x14ac:dyDescent="0.25">
      <c r="A246" s="2"/>
      <c r="B246" s="2"/>
      <c r="C246" s="2"/>
      <c r="D246" s="2"/>
      <c r="E246" s="2"/>
      <c r="F246" s="2"/>
      <c r="G246" s="2"/>
      <c r="H246" s="2"/>
    </row>
    <row r="247" spans="1:11" x14ac:dyDescent="0.25">
      <c r="A247" s="2"/>
      <c r="B247" s="2"/>
      <c r="C247" s="310" t="s">
        <v>787</v>
      </c>
      <c r="D247" s="308" t="str">
        <f>F27</f>
        <v>ladrillo hueco</v>
      </c>
      <c r="E247" s="213">
        <f>E245*F215</f>
        <v>583.33333333333337</v>
      </c>
      <c r="F247" s="214" t="s">
        <v>788</v>
      </c>
      <c r="G247" s="2"/>
      <c r="H247" s="2"/>
    </row>
    <row r="248" spans="1:11" x14ac:dyDescent="0.25">
      <c r="A248" s="2"/>
      <c r="B248" s="2"/>
      <c r="C248" s="77"/>
      <c r="D248" s="76"/>
      <c r="E248" s="78"/>
      <c r="F248" s="4"/>
      <c r="G248" s="2"/>
      <c r="H248" s="2"/>
    </row>
    <row r="249" spans="1:11" x14ac:dyDescent="0.25">
      <c r="A249" s="2"/>
      <c r="B249" s="2"/>
      <c r="C249" s="77"/>
      <c r="D249" s="76"/>
      <c r="E249" s="78"/>
      <c r="F249" s="4"/>
      <c r="G249" s="2"/>
      <c r="H249" s="2"/>
    </row>
    <row r="250" spans="1:11" x14ac:dyDescent="0.25">
      <c r="A250" s="2"/>
      <c r="B250" s="537" t="s">
        <v>789</v>
      </c>
      <c r="C250" s="537"/>
      <c r="D250" s="537"/>
      <c r="E250" s="537"/>
      <c r="F250" s="537"/>
      <c r="G250" s="537"/>
      <c r="H250" s="2"/>
    </row>
    <row r="251" spans="1:11" x14ac:dyDescent="0.25">
      <c r="A251" s="2"/>
      <c r="B251" s="2"/>
      <c r="C251" s="2"/>
      <c r="D251" s="25"/>
      <c r="E251" s="24" t="s">
        <v>790</v>
      </c>
      <c r="F251" s="225">
        <v>0.05</v>
      </c>
      <c r="G251" s="4"/>
      <c r="H251" s="2"/>
      <c r="K251" s="432"/>
    </row>
    <row r="252" spans="1:11" x14ac:dyDescent="0.25">
      <c r="A252" s="2"/>
      <c r="B252" s="2"/>
      <c r="C252" s="433" t="s">
        <v>787</v>
      </c>
      <c r="D252" s="306" t="str">
        <f>D247</f>
        <v>ladrillo hueco</v>
      </c>
      <c r="E252" s="217">
        <f>E247+E247*F251</f>
        <v>612.5</v>
      </c>
      <c r="F252" s="218" t="s">
        <v>788</v>
      </c>
      <c r="G252" s="2"/>
      <c r="H252" s="2"/>
      <c r="K252" s="152"/>
    </row>
    <row r="253" spans="1:11" x14ac:dyDescent="0.25">
      <c r="A253" s="2"/>
      <c r="B253" s="2"/>
      <c r="C253" s="77"/>
      <c r="D253" s="76"/>
      <c r="E253" s="78"/>
      <c r="F253" s="4"/>
      <c r="G253" s="2"/>
      <c r="H253" s="2"/>
      <c r="K253" s="152"/>
    </row>
    <row r="254" spans="1:11" x14ac:dyDescent="0.25">
      <c r="A254" s="2"/>
      <c r="B254" s="2"/>
      <c r="C254" s="2"/>
      <c r="D254" s="2"/>
      <c r="E254" s="2"/>
      <c r="F254" s="2"/>
      <c r="G254" s="2"/>
      <c r="H254" s="2"/>
      <c r="K254" s="434"/>
    </row>
    <row r="255" spans="1:11" x14ac:dyDescent="0.25">
      <c r="A255" s="2"/>
      <c r="B255" s="2"/>
      <c r="C255" s="2"/>
      <c r="D255" s="2"/>
      <c r="E255" s="2"/>
      <c r="F255" s="2"/>
      <c r="G255" s="2"/>
      <c r="H255" s="2"/>
      <c r="K255" s="434"/>
    </row>
    <row r="256" spans="1:11" x14ac:dyDescent="0.25">
      <c r="A256" s="411" t="s">
        <v>791</v>
      </c>
      <c r="B256" s="239"/>
      <c r="C256" s="239"/>
      <c r="D256" s="239"/>
      <c r="E256" s="239"/>
      <c r="F256" s="2"/>
      <c r="G256" s="2"/>
      <c r="H256" s="2"/>
    </row>
    <row r="257" spans="1:8" x14ac:dyDescent="0.25">
      <c r="A257" s="22"/>
      <c r="B257" s="2"/>
      <c r="C257" s="2"/>
      <c r="D257" s="2"/>
      <c r="E257" s="2"/>
      <c r="F257" s="2"/>
      <c r="G257" s="2"/>
      <c r="H257" s="2"/>
    </row>
    <row r="258" spans="1:8" x14ac:dyDescent="0.25">
      <c r="A258" s="2"/>
      <c r="B258" s="22" t="s">
        <v>792</v>
      </c>
      <c r="C258" s="2"/>
      <c r="D258" s="2"/>
      <c r="E258" s="2"/>
      <c r="F258" s="2"/>
      <c r="G258" s="2"/>
      <c r="H258" s="57"/>
    </row>
    <row r="259" spans="1:8" x14ac:dyDescent="0.25">
      <c r="A259" s="2"/>
      <c r="B259" s="2"/>
      <c r="C259" s="2"/>
      <c r="D259" s="2"/>
      <c r="E259" s="2"/>
      <c r="F259" s="2"/>
      <c r="G259" s="2"/>
      <c r="H259" s="2"/>
    </row>
    <row r="260" spans="1:8" x14ac:dyDescent="0.25">
      <c r="A260" s="2"/>
      <c r="B260" s="2"/>
      <c r="C260" s="2"/>
      <c r="D260" s="2"/>
      <c r="E260" s="2"/>
      <c r="F260" s="2"/>
      <c r="G260" s="2"/>
      <c r="H260" s="2"/>
    </row>
    <row r="261" spans="1:8" x14ac:dyDescent="0.25">
      <c r="A261" s="2"/>
      <c r="B261" s="2"/>
      <c r="C261" s="2"/>
      <c r="D261" s="2"/>
      <c r="E261" s="2"/>
      <c r="F261" s="2"/>
      <c r="G261" s="2"/>
      <c r="H261" s="2"/>
    </row>
    <row r="262" spans="1:8" x14ac:dyDescent="0.25">
      <c r="A262" s="2"/>
      <c r="B262" s="2"/>
      <c r="C262" s="814" t="s">
        <v>793</v>
      </c>
      <c r="D262" s="815"/>
      <c r="E262" s="161">
        <f>E22</f>
        <v>20</v>
      </c>
      <c r="F262" s="25" t="s">
        <v>337</v>
      </c>
      <c r="G262" s="2"/>
      <c r="H262" s="2"/>
    </row>
    <row r="263" spans="1:8" x14ac:dyDescent="0.25">
      <c r="A263" s="2"/>
      <c r="B263" s="2"/>
      <c r="C263" s="2"/>
      <c r="D263" s="2"/>
      <c r="E263" s="2"/>
      <c r="F263" s="2"/>
      <c r="G263" s="2"/>
      <c r="H263" s="2"/>
    </row>
    <row r="264" spans="1:8" ht="15.75" x14ac:dyDescent="0.25">
      <c r="A264" s="2"/>
      <c r="B264" s="2"/>
      <c r="C264" s="435" t="s">
        <v>794</v>
      </c>
      <c r="D264" s="213">
        <f>(1*1*(E262/100))-(IF(E237=C25,(G35/100)*(G39/100)*(D38/100)*E245,IF(AND(E237=C26),(G48/100)*(G52/100)*(C52/100)*E245)))</f>
        <v>8.7500000000000008E-2</v>
      </c>
      <c r="E264" s="214" t="s">
        <v>795</v>
      </c>
      <c r="F264" s="2"/>
      <c r="G264" s="2"/>
      <c r="H264" s="2"/>
    </row>
    <row r="265" spans="1:8" x14ac:dyDescent="0.25">
      <c r="A265" s="2"/>
      <c r="B265" s="2"/>
      <c r="C265" s="2"/>
      <c r="D265" s="2"/>
      <c r="E265" s="2"/>
      <c r="F265" s="2"/>
      <c r="G265" s="2"/>
      <c r="H265" s="2"/>
    </row>
    <row r="266" spans="1:8" x14ac:dyDescent="0.25">
      <c r="A266" s="2"/>
      <c r="B266" s="22" t="s">
        <v>796</v>
      </c>
      <c r="C266" s="2"/>
      <c r="D266" s="2"/>
      <c r="E266" s="2"/>
      <c r="F266" s="2"/>
      <c r="G266" s="2"/>
      <c r="H266" s="2"/>
    </row>
    <row r="267" spans="1:8" x14ac:dyDescent="0.25">
      <c r="A267" s="2"/>
      <c r="B267" s="2"/>
      <c r="C267" s="143" t="s">
        <v>797</v>
      </c>
      <c r="D267" s="2"/>
      <c r="E267" s="175">
        <f>D264</f>
        <v>8.7500000000000008E-2</v>
      </c>
      <c r="F267" s="358" t="s">
        <v>798</v>
      </c>
      <c r="G267" s="2"/>
      <c r="H267" s="2"/>
    </row>
    <row r="268" spans="1:8" ht="15.75" x14ac:dyDescent="0.25">
      <c r="A268" s="2"/>
      <c r="B268" s="2"/>
      <c r="C268" s="589" t="s">
        <v>245</v>
      </c>
      <c r="D268" s="590"/>
      <c r="E268" s="213">
        <f>E267*F215</f>
        <v>6.1250000000000009</v>
      </c>
      <c r="F268" s="214" t="s">
        <v>32</v>
      </c>
      <c r="G268" s="2"/>
      <c r="H268" s="2"/>
    </row>
    <row r="269" spans="1:8" x14ac:dyDescent="0.25">
      <c r="A269" s="2"/>
      <c r="B269" s="2"/>
      <c r="C269" s="2"/>
      <c r="D269" s="2"/>
      <c r="E269" s="2"/>
      <c r="F269" s="2"/>
      <c r="G269" s="2"/>
      <c r="H269" s="2"/>
    </row>
    <row r="270" spans="1:8" x14ac:dyDescent="0.25">
      <c r="A270" s="2"/>
      <c r="B270" s="537" t="s">
        <v>799</v>
      </c>
      <c r="C270" s="537"/>
      <c r="D270" s="537"/>
      <c r="E270" s="537"/>
      <c r="F270" s="537"/>
      <c r="G270" s="537"/>
      <c r="H270" s="2"/>
    </row>
    <row r="271" spans="1:8" x14ac:dyDescent="0.25">
      <c r="A271" s="2"/>
      <c r="B271" s="215"/>
      <c r="C271" s="25" t="s">
        <v>244</v>
      </c>
      <c r="D271" s="2"/>
      <c r="E271" s="2"/>
      <c r="F271" s="225">
        <v>0.05</v>
      </c>
      <c r="G271" s="2"/>
    </row>
    <row r="272" spans="1:8" ht="15.75" x14ac:dyDescent="0.25">
      <c r="A272" s="2"/>
      <c r="B272" s="2"/>
      <c r="C272" s="573" t="s">
        <v>245</v>
      </c>
      <c r="D272" s="585"/>
      <c r="E272" s="217">
        <f>E268+E268*F271</f>
        <v>6.4312500000000012</v>
      </c>
      <c r="F272" s="218" t="s">
        <v>32</v>
      </c>
      <c r="G272" s="2"/>
      <c r="H272" s="2"/>
    </row>
    <row r="273" spans="1:10" x14ac:dyDescent="0.25">
      <c r="A273" s="2"/>
      <c r="B273" s="2"/>
      <c r="C273" s="76"/>
      <c r="D273" s="76"/>
      <c r="E273" s="78"/>
      <c r="F273" s="4"/>
      <c r="G273" s="2"/>
      <c r="H273" s="2"/>
    </row>
    <row r="274" spans="1:10" x14ac:dyDescent="0.25">
      <c r="A274" s="2"/>
      <c r="B274" s="2"/>
      <c r="C274" s="76"/>
      <c r="D274" s="76"/>
      <c r="E274" s="78"/>
      <c r="F274" s="4"/>
      <c r="G274" s="2"/>
      <c r="H274" s="2"/>
    </row>
    <row r="275" spans="1:10" x14ac:dyDescent="0.25">
      <c r="A275" s="2"/>
      <c r="B275" s="22" t="s">
        <v>800</v>
      </c>
      <c r="C275" s="2"/>
      <c r="D275" s="2"/>
      <c r="E275" s="2"/>
      <c r="F275" s="2"/>
      <c r="G275" s="2"/>
      <c r="H275" s="2"/>
    </row>
    <row r="276" spans="1:10" ht="15.75" x14ac:dyDescent="0.25">
      <c r="A276" s="2"/>
      <c r="B276" s="2"/>
      <c r="C276" s="587" t="s">
        <v>801</v>
      </c>
      <c r="D276" s="587"/>
      <c r="E276" s="587"/>
      <c r="F276" s="587"/>
      <c r="G276" s="587"/>
      <c r="H276" s="2"/>
    </row>
    <row r="277" spans="1:10" ht="15.75" x14ac:dyDescent="0.25">
      <c r="A277" s="2"/>
      <c r="B277" s="2"/>
      <c r="C277" s="43" t="s">
        <v>742</v>
      </c>
      <c r="D277" s="49"/>
      <c r="E277" s="49"/>
      <c r="F277" s="146">
        <f>F71</f>
        <v>9.73</v>
      </c>
      <c r="G277" s="221" t="s">
        <v>302</v>
      </c>
      <c r="H277" s="2"/>
    </row>
    <row r="278" spans="1:10" ht="15.75" x14ac:dyDescent="0.25">
      <c r="A278" s="2"/>
      <c r="B278" s="2"/>
      <c r="C278" s="43" t="s">
        <v>196</v>
      </c>
      <c r="D278" s="49"/>
      <c r="E278" s="49"/>
      <c r="F278" s="146">
        <f>F72</f>
        <v>0.52</v>
      </c>
      <c r="G278" s="221" t="s">
        <v>303</v>
      </c>
      <c r="H278" s="2"/>
    </row>
    <row r="279" spans="1:10" ht="15.75" x14ac:dyDescent="0.25">
      <c r="A279" s="2"/>
      <c r="B279" s="2"/>
      <c r="C279" s="43" t="s">
        <v>197</v>
      </c>
      <c r="D279" s="49"/>
      <c r="E279" s="49"/>
      <c r="F279" s="146">
        <f>F73</f>
        <v>0.53</v>
      </c>
      <c r="G279" s="221" t="s">
        <v>303</v>
      </c>
      <c r="H279" s="2"/>
    </row>
    <row r="280" spans="1:10" ht="15.75" x14ac:dyDescent="0.25">
      <c r="A280" s="2"/>
      <c r="B280" s="2"/>
      <c r="C280" s="43" t="s">
        <v>198</v>
      </c>
      <c r="D280" s="49"/>
      <c r="E280" s="49"/>
      <c r="F280" s="145">
        <f>F74</f>
        <v>0.186</v>
      </c>
      <c r="G280" s="221" t="s">
        <v>303</v>
      </c>
      <c r="H280" s="2"/>
    </row>
    <row r="281" spans="1:10" x14ac:dyDescent="0.25">
      <c r="A281" s="2"/>
      <c r="B281" s="2"/>
      <c r="C281" s="2"/>
      <c r="D281" s="2"/>
      <c r="E281" s="2"/>
      <c r="F281" s="2"/>
      <c r="G281" s="2"/>
      <c r="H281" s="2"/>
    </row>
    <row r="282" spans="1:10" x14ac:dyDescent="0.25">
      <c r="A282" s="2"/>
      <c r="B282" s="2"/>
      <c r="C282" s="2"/>
      <c r="D282" s="2"/>
      <c r="E282" s="2"/>
      <c r="F282" s="2"/>
      <c r="G282" s="2"/>
      <c r="H282" s="2"/>
    </row>
    <row r="283" spans="1:10" x14ac:dyDescent="0.25">
      <c r="A283" s="2"/>
      <c r="B283" s="537" t="s">
        <v>802</v>
      </c>
      <c r="C283" s="537"/>
      <c r="D283" s="537"/>
      <c r="E283" s="537"/>
      <c r="F283" s="537"/>
      <c r="G283" s="537"/>
      <c r="H283" s="537"/>
      <c r="J283" s="54"/>
    </row>
    <row r="284" spans="1:10" x14ac:dyDescent="0.25">
      <c r="A284" s="2"/>
      <c r="B284" s="2"/>
      <c r="C284" s="2"/>
      <c r="D284" s="25" t="s">
        <v>244</v>
      </c>
      <c r="E284" s="2"/>
      <c r="F284" s="2"/>
      <c r="G284" s="225">
        <v>0.05</v>
      </c>
      <c r="H284" s="2"/>
    </row>
    <row r="285" spans="1:10" x14ac:dyDescent="0.25">
      <c r="A285" s="2"/>
      <c r="B285" s="2"/>
      <c r="C285" s="222" t="s">
        <v>742</v>
      </c>
      <c r="D285" s="223"/>
      <c r="E285" s="223"/>
      <c r="F285" s="217">
        <f>(F277*E268)+(F277*E268)*G284</f>
        <v>62.576062500000013</v>
      </c>
      <c r="G285" s="218" t="s">
        <v>35</v>
      </c>
      <c r="H285" s="2"/>
      <c r="I285" s="152"/>
      <c r="J285" s="152"/>
    </row>
    <row r="286" spans="1:10" ht="15.75" x14ac:dyDescent="0.25">
      <c r="A286" s="2"/>
      <c r="B286" s="2"/>
      <c r="C286" s="222" t="s">
        <v>196</v>
      </c>
      <c r="D286" s="223"/>
      <c r="E286" s="223"/>
      <c r="F286" s="217">
        <f>(F278*E268)+(F278*E268)*G284</f>
        <v>3.3442500000000006</v>
      </c>
      <c r="G286" s="218" t="s">
        <v>32</v>
      </c>
      <c r="H286" s="2"/>
      <c r="I286" s="152"/>
      <c r="J286" s="152"/>
    </row>
    <row r="287" spans="1:10" ht="15.75" x14ac:dyDescent="0.25">
      <c r="A287" s="2"/>
      <c r="B287" s="2"/>
      <c r="C287" s="222" t="s">
        <v>197</v>
      </c>
      <c r="D287" s="223"/>
      <c r="E287" s="223"/>
      <c r="F287" s="217">
        <f>(F279*E268)+(F279*E268)*G284</f>
        <v>3.4085625000000008</v>
      </c>
      <c r="G287" s="218" t="s">
        <v>32</v>
      </c>
      <c r="H287" s="2"/>
      <c r="I287" s="152"/>
      <c r="J287" s="152"/>
    </row>
    <row r="288" spans="1:10" ht="15.75" x14ac:dyDescent="0.25">
      <c r="A288" s="2"/>
      <c r="B288" s="2"/>
      <c r="C288" s="222" t="s">
        <v>198</v>
      </c>
      <c r="D288" s="223"/>
      <c r="E288" s="223"/>
      <c r="F288" s="224">
        <f>(F280*E268)+(F280*E268)*G284</f>
        <v>1.1962125000000001</v>
      </c>
      <c r="G288" s="218" t="s">
        <v>32</v>
      </c>
      <c r="H288" s="2"/>
      <c r="I288" s="434"/>
    </row>
    <row r="289" spans="1:9" x14ac:dyDescent="0.25">
      <c r="A289" s="2"/>
      <c r="B289" s="2"/>
      <c r="C289" s="2"/>
      <c r="D289" s="2"/>
      <c r="E289" s="2"/>
      <c r="F289" s="2"/>
      <c r="G289" s="2"/>
      <c r="H289" s="2"/>
    </row>
    <row r="290" spans="1:9" x14ac:dyDescent="0.25">
      <c r="A290" s="2"/>
      <c r="B290" s="2"/>
      <c r="C290" s="2"/>
      <c r="D290" s="2"/>
      <c r="E290" s="2"/>
      <c r="F290" s="2"/>
      <c r="G290" s="2"/>
      <c r="H290" s="2"/>
    </row>
    <row r="291" spans="1:9" x14ac:dyDescent="0.25">
      <c r="A291" s="2"/>
      <c r="B291" s="2"/>
      <c r="C291" s="2"/>
      <c r="D291" s="2"/>
      <c r="E291" s="2"/>
      <c r="F291" s="2"/>
      <c r="G291" s="2"/>
      <c r="H291" s="2"/>
    </row>
    <row r="292" spans="1:9" x14ac:dyDescent="0.25">
      <c r="A292" s="411" t="s">
        <v>803</v>
      </c>
      <c r="B292" s="239"/>
      <c r="C292" s="239"/>
      <c r="D292" s="239"/>
      <c r="E292" s="239"/>
      <c r="F292" s="2"/>
      <c r="G292" s="2"/>
      <c r="H292" s="2"/>
    </row>
    <row r="293" spans="1:9" x14ac:dyDescent="0.25">
      <c r="A293" s="22"/>
      <c r="B293" s="2"/>
      <c r="C293" s="2"/>
      <c r="D293" s="2"/>
      <c r="E293" s="2"/>
      <c r="F293" s="2"/>
      <c r="G293" s="2"/>
      <c r="H293" s="2"/>
    </row>
    <row r="294" spans="1:9" ht="15.75" x14ac:dyDescent="0.25">
      <c r="A294" s="2"/>
      <c r="B294" s="2"/>
      <c r="C294" s="587" t="s">
        <v>804</v>
      </c>
      <c r="D294" s="587"/>
      <c r="E294" s="587"/>
      <c r="F294" s="587"/>
      <c r="G294" s="587"/>
      <c r="H294" s="2"/>
    </row>
    <row r="295" spans="1:9" ht="15.75" x14ac:dyDescent="0.25">
      <c r="A295" s="2"/>
      <c r="B295" s="2"/>
      <c r="C295" s="43" t="s">
        <v>246</v>
      </c>
      <c r="D295" s="49"/>
      <c r="E295" s="49"/>
      <c r="F295" s="146">
        <f>E110</f>
        <v>5.15</v>
      </c>
      <c r="G295" s="50" t="s">
        <v>304</v>
      </c>
      <c r="H295" s="2"/>
    </row>
    <row r="296" spans="1:9" x14ac:dyDescent="0.25">
      <c r="A296" s="2"/>
      <c r="B296" s="2"/>
      <c r="C296" s="43" t="s">
        <v>247</v>
      </c>
      <c r="D296" s="49"/>
      <c r="E296" s="49"/>
      <c r="F296" s="146">
        <f>E111</f>
        <v>0.2</v>
      </c>
      <c r="G296" s="50" t="s">
        <v>805</v>
      </c>
      <c r="H296" s="2"/>
    </row>
    <row r="297" spans="1:9" x14ac:dyDescent="0.25">
      <c r="A297" s="2"/>
      <c r="B297" s="2"/>
      <c r="C297" s="43" t="s">
        <v>806</v>
      </c>
      <c r="D297" s="49"/>
      <c r="E297" s="49"/>
      <c r="F297" s="146">
        <f>E112</f>
        <v>0.5</v>
      </c>
      <c r="G297" s="50" t="s">
        <v>805</v>
      </c>
      <c r="H297" s="2"/>
    </row>
    <row r="298" spans="1:9" x14ac:dyDescent="0.25">
      <c r="A298" s="2"/>
      <c r="B298" s="2"/>
      <c r="C298" s="6"/>
      <c r="D298" s="2"/>
      <c r="E298" s="2"/>
      <c r="F298" s="2"/>
      <c r="G298" s="2"/>
      <c r="H298" s="2"/>
    </row>
    <row r="299" spans="1:9" x14ac:dyDescent="0.25">
      <c r="A299" s="2"/>
      <c r="B299" s="537" t="s">
        <v>248</v>
      </c>
      <c r="C299" s="537"/>
      <c r="D299" s="537"/>
      <c r="E299" s="537"/>
      <c r="F299" s="537"/>
      <c r="G299" s="537"/>
      <c r="H299" s="537"/>
    </row>
    <row r="300" spans="1:9" x14ac:dyDescent="0.25">
      <c r="A300" s="2"/>
      <c r="B300" s="2"/>
      <c r="C300" s="215"/>
      <c r="D300" s="25" t="s">
        <v>249</v>
      </c>
      <c r="E300" s="215"/>
      <c r="F300" s="225">
        <v>0.05</v>
      </c>
      <c r="G300" s="215"/>
      <c r="H300" s="2"/>
    </row>
    <row r="301" spans="1:9" ht="15.75" x14ac:dyDescent="0.25">
      <c r="A301" s="2"/>
      <c r="B301" s="2"/>
      <c r="C301" s="222" t="s">
        <v>246</v>
      </c>
      <c r="D301" s="223"/>
      <c r="E301" s="223"/>
      <c r="F301" s="217">
        <f>(F295*F216)+(F295*F216)*F300</f>
        <v>324.45</v>
      </c>
      <c r="G301" s="218" t="s">
        <v>306</v>
      </c>
      <c r="H301" s="2"/>
      <c r="I301" s="434"/>
    </row>
    <row r="302" spans="1:9" x14ac:dyDescent="0.25">
      <c r="A302" s="2"/>
      <c r="B302" s="2"/>
      <c r="C302" s="222" t="s">
        <v>247</v>
      </c>
      <c r="D302" s="223"/>
      <c r="E302" s="223"/>
      <c r="F302" s="217">
        <f>(F296*F216)+(F296*F216)*F300</f>
        <v>12.6</v>
      </c>
      <c r="G302" s="218" t="s">
        <v>169</v>
      </c>
      <c r="H302" s="2"/>
      <c r="I302" s="434"/>
    </row>
    <row r="303" spans="1:9" x14ac:dyDescent="0.25">
      <c r="A303" s="2"/>
      <c r="B303" s="2"/>
      <c r="C303" s="222" t="s">
        <v>262</v>
      </c>
      <c r="D303" s="223"/>
      <c r="E303" s="223"/>
      <c r="F303" s="217">
        <f>(F297*F216)+(F297*F216)*F300</f>
        <v>31.5</v>
      </c>
      <c r="G303" s="218" t="s">
        <v>169</v>
      </c>
      <c r="H303" s="2"/>
      <c r="I303" s="434"/>
    </row>
    <row r="304" spans="1:9" x14ac:dyDescent="0.25">
      <c r="A304" s="2"/>
      <c r="B304" s="2"/>
      <c r="C304" s="6"/>
      <c r="D304" s="2"/>
      <c r="E304" s="2"/>
      <c r="F304" s="2"/>
      <c r="G304" s="2"/>
      <c r="H304" s="2"/>
    </row>
    <row r="305" spans="1:9" x14ac:dyDescent="0.25">
      <c r="A305" s="2"/>
      <c r="B305" s="2"/>
      <c r="C305" s="6"/>
      <c r="D305" s="2"/>
      <c r="E305" s="2"/>
      <c r="F305" s="2"/>
      <c r="G305" s="2"/>
      <c r="H305" s="2"/>
    </row>
    <row r="306" spans="1:9" x14ac:dyDescent="0.25">
      <c r="A306" s="2"/>
      <c r="B306" s="2"/>
      <c r="C306" s="6"/>
      <c r="D306" s="2"/>
      <c r="E306" s="2"/>
      <c r="F306" s="2"/>
      <c r="G306" s="2"/>
      <c r="H306" s="2"/>
    </row>
    <row r="307" spans="1:9" x14ac:dyDescent="0.25">
      <c r="A307" s="411" t="s">
        <v>807</v>
      </c>
      <c r="B307" s="239"/>
      <c r="C307" s="239"/>
      <c r="D307" s="239"/>
      <c r="E307" s="239"/>
      <c r="F307" s="2"/>
      <c r="G307" s="32"/>
      <c r="H307" s="35"/>
      <c r="I307" s="299"/>
    </row>
    <row r="308" spans="1:9" x14ac:dyDescent="0.25">
      <c r="A308" s="22"/>
      <c r="B308" s="2"/>
      <c r="C308" s="2"/>
      <c r="D308" s="2"/>
      <c r="E308" s="2"/>
      <c r="F308" s="2"/>
      <c r="G308" s="32"/>
      <c r="H308" s="35"/>
      <c r="I308" s="299"/>
    </row>
    <row r="309" spans="1:9" x14ac:dyDescent="0.25">
      <c r="A309" s="22"/>
      <c r="B309" s="2"/>
      <c r="C309" s="587" t="s">
        <v>307</v>
      </c>
      <c r="D309" s="587"/>
      <c r="E309" s="587"/>
      <c r="F309" s="587"/>
      <c r="G309" s="587"/>
      <c r="H309" s="35"/>
      <c r="I309" s="299"/>
    </row>
    <row r="310" spans="1:9" x14ac:dyDescent="0.25">
      <c r="A310" s="22"/>
      <c r="B310" s="2"/>
      <c r="C310" s="43" t="s">
        <v>250</v>
      </c>
      <c r="D310" s="227"/>
      <c r="E310" s="228"/>
      <c r="F310" s="145">
        <f>1+(((F320*F314*F321)/(F320*F314*F321+F320*F315*F322+F320*F316*F323+F220))*F329+((F320*F315*F322)/(F320*F314*F321+F320*F315*F322+F320*F316*F323+F220))*F330+((F320*F316*F323)/(F320*F314*F321+F320*F315*F322+F320*F316*F323+F220))*F331+(F220/(F320*F314*F321+F320*F315*F322+F320*F316*F323+F220))*0.03)</f>
        <v>1.042</v>
      </c>
      <c r="G310" s="207" t="s">
        <v>169</v>
      </c>
      <c r="H310" s="35"/>
      <c r="I310" s="299"/>
    </row>
    <row r="311" spans="1:9" x14ac:dyDescent="0.25">
      <c r="A311" s="22"/>
      <c r="B311" s="2"/>
      <c r="C311" s="593" t="s">
        <v>238</v>
      </c>
      <c r="D311" s="594"/>
      <c r="E311" s="228"/>
      <c r="F311" s="229">
        <f>F105</f>
        <v>0.05</v>
      </c>
      <c r="G311" s="207" t="s">
        <v>169</v>
      </c>
      <c r="H311" s="35"/>
      <c r="I311" s="299"/>
    </row>
    <row r="312" spans="1:9" x14ac:dyDescent="0.25">
      <c r="A312" s="22"/>
      <c r="B312" s="2"/>
      <c r="C312" s="2"/>
      <c r="D312" s="2"/>
      <c r="E312" s="2"/>
      <c r="F312" s="2"/>
      <c r="G312" s="32"/>
      <c r="H312" s="35"/>
      <c r="I312" s="299"/>
    </row>
    <row r="313" spans="1:9" x14ac:dyDescent="0.25">
      <c r="A313" s="2"/>
      <c r="B313" s="6"/>
      <c r="C313" s="595" t="s">
        <v>808</v>
      </c>
      <c r="D313" s="587"/>
      <c r="E313" s="587"/>
      <c r="F313" s="587"/>
      <c r="G313" s="587"/>
      <c r="H313" s="2"/>
    </row>
    <row r="314" spans="1:9" x14ac:dyDescent="0.25">
      <c r="A314" s="2"/>
      <c r="B314" s="2"/>
      <c r="C314" s="591" t="s">
        <v>252</v>
      </c>
      <c r="D314" s="592"/>
      <c r="E314" s="228"/>
      <c r="F314" s="229">
        <f>IF(D217=C94,H94,IF(AND(D217=C95),H95,IF(AND(D217=C96),H96,IF(AND(D217="-"),0))))</f>
        <v>0.55700000000000005</v>
      </c>
      <c r="G314" s="50" t="str">
        <f>IF(F99="si","kg/m",IF(AND(F99="no"),"-"))</f>
        <v>kg/m</v>
      </c>
      <c r="H314" s="2"/>
    </row>
    <row r="315" spans="1:9" x14ac:dyDescent="0.25">
      <c r="A315" s="2"/>
      <c r="B315" s="2"/>
      <c r="C315" s="591" t="s">
        <v>253</v>
      </c>
      <c r="D315" s="592"/>
      <c r="E315" s="228"/>
      <c r="F315" s="229">
        <f>IF(D218=C94,H94,IF(AND(D218=C95),H95,IF(AND(D218=C96),H96,IF(AND(D218="-"),0))))</f>
        <v>0.99399999999999999</v>
      </c>
      <c r="G315" s="50" t="str">
        <f>IF(F100="si","kg/m",IF(AND(F100="no"),"-"))</f>
        <v>kg/m</v>
      </c>
      <c r="H315" s="2"/>
    </row>
    <row r="316" spans="1:9" x14ac:dyDescent="0.25">
      <c r="A316" s="2"/>
      <c r="B316" s="2"/>
      <c r="C316" s="591" t="s">
        <v>254</v>
      </c>
      <c r="D316" s="592"/>
      <c r="E316" s="228"/>
      <c r="F316" s="229">
        <f>IF(D219=C94,H94,IF(AND(D219=C95),H95,IF(AND(D219=C96),H96,IF(AND(D219="-"),0))))</f>
        <v>0</v>
      </c>
      <c r="G316" s="50" t="str">
        <f>IF(F101="si","kg/m",IF(AND(F101="no"),"-"))</f>
        <v>-</v>
      </c>
      <c r="H316" s="2"/>
    </row>
    <row r="317" spans="1:9" x14ac:dyDescent="0.25">
      <c r="A317" s="2"/>
      <c r="B317" s="2"/>
      <c r="C317" s="436" t="s">
        <v>809</v>
      </c>
      <c r="D317" s="227" t="str">
        <f>D220</f>
        <v>6 mm</v>
      </c>
      <c r="E317" s="228"/>
      <c r="F317" s="145">
        <f>IF(D220=C92,H92,IF(AND(D220=C93),H93,IF(AND(D220=C91),H91)))</f>
        <v>0.22</v>
      </c>
      <c r="G317" s="50" t="s">
        <v>810</v>
      </c>
      <c r="H317" s="2"/>
    </row>
    <row r="318" spans="1:9" x14ac:dyDescent="0.25">
      <c r="A318" s="2"/>
      <c r="B318" s="2"/>
      <c r="C318" s="68"/>
      <c r="D318" s="2"/>
      <c r="E318" s="2"/>
      <c r="F318" s="2"/>
      <c r="G318" s="2"/>
      <c r="H318" s="2"/>
    </row>
    <row r="319" spans="1:9" x14ac:dyDescent="0.25">
      <c r="A319" s="2"/>
      <c r="B319" s="537" t="s">
        <v>811</v>
      </c>
      <c r="C319" s="537"/>
      <c r="D319" s="537"/>
      <c r="E319" s="537"/>
      <c r="F319" s="537"/>
      <c r="G319" s="537"/>
      <c r="H319" s="537"/>
    </row>
    <row r="320" spans="1:9" x14ac:dyDescent="0.25">
      <c r="A320" s="2"/>
      <c r="B320" s="2"/>
      <c r="C320" s="2"/>
      <c r="D320" s="25"/>
      <c r="E320" s="24" t="s">
        <v>256</v>
      </c>
      <c r="F320" s="68">
        <v>9</v>
      </c>
      <c r="G320" s="2" t="s">
        <v>257</v>
      </c>
      <c r="H320" s="2"/>
    </row>
    <row r="321" spans="1:9" x14ac:dyDescent="0.25">
      <c r="A321" s="2"/>
      <c r="B321" s="2"/>
      <c r="C321" s="591" t="s">
        <v>252</v>
      </c>
      <c r="D321" s="592"/>
      <c r="E321" s="231"/>
      <c r="F321" s="232">
        <f>IF(D217=C94,((F217/F314)/9),IF(AND(D217=C95),((F217/F314)/9),IF(AND(D217=C96),((F217/F314)/9),IF(AND(D217="-"),0))))</f>
        <v>59.844404548174744</v>
      </c>
      <c r="G321" s="233" t="str">
        <f>IF(F99="si","varillas",IF(AND(F99="no"),"-"))</f>
        <v>varillas</v>
      </c>
      <c r="H321" s="2"/>
      <c r="I321" s="54"/>
    </row>
    <row r="322" spans="1:9" x14ac:dyDescent="0.25">
      <c r="A322" s="2"/>
      <c r="B322" s="2"/>
      <c r="C322" s="591" t="s">
        <v>253</v>
      </c>
      <c r="D322" s="592"/>
      <c r="E322" s="228"/>
      <c r="F322" s="146">
        <f>IF(D218=C94,((F218/F315)/9),IF(AND(D218=C95),((F218/F315)/9),IF(AND(D218=C96),((F218/F315)/9),IF(AND(D218="-"),0))))</f>
        <v>83.836351441985244</v>
      </c>
      <c r="G322" s="50" t="str">
        <f>IF(F100="si","varillas",IF(AND(F100="no"),"-"))</f>
        <v>varillas</v>
      </c>
      <c r="H322" s="2"/>
      <c r="I322" s="54"/>
    </row>
    <row r="323" spans="1:9" x14ac:dyDescent="0.25">
      <c r="A323" s="2"/>
      <c r="B323" s="2"/>
      <c r="C323" s="591" t="s">
        <v>254</v>
      </c>
      <c r="D323" s="592"/>
      <c r="E323" s="228"/>
      <c r="F323" s="146">
        <f>IF(D219=C94,((F219/F316)/9),IF(AND(D219=C95),((F219/F316)/9),IF(AND(D219=C96),((F219/F316)/9),IF(AND(D219="-"),0))))</f>
        <v>0</v>
      </c>
      <c r="G323" s="50" t="str">
        <f>IF(F101="si","varillas",IF(AND(F101="no"),"-"))</f>
        <v>-</v>
      </c>
      <c r="H323" s="2"/>
      <c r="I323" s="54"/>
    </row>
    <row r="324" spans="1:9" x14ac:dyDescent="0.25">
      <c r="A324" s="2"/>
      <c r="B324" s="2"/>
      <c r="C324" s="436" t="s">
        <v>809</v>
      </c>
      <c r="D324" s="227" t="str">
        <f>D317</f>
        <v>6 mm</v>
      </c>
      <c r="E324" s="228"/>
      <c r="F324" s="146">
        <f>(F220/F317)/9</f>
        <v>101.01010101010101</v>
      </c>
      <c r="G324" s="50" t="s">
        <v>812</v>
      </c>
      <c r="H324" s="2"/>
      <c r="I324" s="54"/>
    </row>
    <row r="325" spans="1:9" x14ac:dyDescent="0.25">
      <c r="A325" s="2"/>
      <c r="B325" s="2"/>
      <c r="C325" s="593" t="s">
        <v>238</v>
      </c>
      <c r="D325" s="594"/>
      <c r="E325" s="228"/>
      <c r="F325" s="146">
        <f>F105*((F320*F314*F321+F320*F315*F322+F320*F316*F323+F220))</f>
        <v>62.5</v>
      </c>
      <c r="G325" s="50" t="s">
        <v>169</v>
      </c>
      <c r="H325" s="2"/>
      <c r="I325" s="437"/>
    </row>
    <row r="326" spans="1:9" x14ac:dyDescent="0.25">
      <c r="A326" s="2"/>
      <c r="B326" s="2"/>
      <c r="C326" s="2"/>
      <c r="D326" s="2"/>
      <c r="E326" s="2"/>
      <c r="F326" s="2"/>
      <c r="G326" s="2"/>
      <c r="H326" s="2"/>
    </row>
    <row r="327" spans="1:9" x14ac:dyDescent="0.25">
      <c r="A327" s="2"/>
      <c r="B327" s="2"/>
      <c r="C327" s="2"/>
      <c r="D327" s="2"/>
      <c r="E327" s="2"/>
      <c r="F327" s="2"/>
      <c r="G327" s="2"/>
      <c r="H327" s="2"/>
    </row>
    <row r="328" spans="1:9" x14ac:dyDescent="0.25">
      <c r="A328" s="2"/>
      <c r="B328" s="537" t="s">
        <v>813</v>
      </c>
      <c r="C328" s="537"/>
      <c r="D328" s="537"/>
      <c r="E328" s="537"/>
      <c r="F328" s="537"/>
      <c r="G328" s="537"/>
      <c r="H328" s="537"/>
    </row>
    <row r="329" spans="1:9" x14ac:dyDescent="0.25">
      <c r="A329" s="2"/>
      <c r="B329" s="2"/>
      <c r="C329" s="2"/>
      <c r="D329" s="25" t="s">
        <v>258</v>
      </c>
      <c r="E329" s="215"/>
      <c r="F329" s="225">
        <v>0.03</v>
      </c>
      <c r="G329" s="2"/>
      <c r="H329" s="2"/>
    </row>
    <row r="330" spans="1:9" x14ac:dyDescent="0.25">
      <c r="A330" s="2"/>
      <c r="B330" s="2"/>
      <c r="C330" s="2"/>
      <c r="D330" s="25" t="s">
        <v>259</v>
      </c>
      <c r="E330" s="215"/>
      <c r="F330" s="225">
        <v>0.05</v>
      </c>
      <c r="G330" s="2"/>
      <c r="H330" s="2"/>
    </row>
    <row r="331" spans="1:9" x14ac:dyDescent="0.25">
      <c r="A331" s="2"/>
      <c r="B331" s="2"/>
      <c r="C331" s="2"/>
      <c r="D331" s="25" t="s">
        <v>260</v>
      </c>
      <c r="E331" s="215"/>
      <c r="F331" s="225">
        <v>7.0000000000000007E-2</v>
      </c>
      <c r="G331" s="2"/>
      <c r="H331" s="2"/>
    </row>
    <row r="332" spans="1:9" x14ac:dyDescent="0.25">
      <c r="A332" s="2"/>
      <c r="B332" s="2"/>
      <c r="C332" s="597" t="s">
        <v>252</v>
      </c>
      <c r="D332" s="598"/>
      <c r="E332" s="223"/>
      <c r="F332" s="217">
        <f>IF(D217="3/8""",(F321+F321*F329),IF(AND(D217="1/2"""),(F321+F321*F330),IF(AND(D217="5/8"""),(F321+F321*F331),IF(AND(D217="-"),0))))</f>
        <v>61.639736684619983</v>
      </c>
      <c r="G332" s="218" t="str">
        <f>G321</f>
        <v>varillas</v>
      </c>
      <c r="H332" s="2"/>
    </row>
    <row r="333" spans="1:9" x14ac:dyDescent="0.25">
      <c r="A333" s="2"/>
      <c r="B333" s="2"/>
      <c r="C333" s="597" t="s">
        <v>253</v>
      </c>
      <c r="D333" s="598"/>
      <c r="E333" s="223"/>
      <c r="F333" s="217">
        <f>IF(D218="3/8""",(F322+F322*F329),IF(AND(D218="1/2"""),(F322+F322*F330),IF(AND(D218="5/8"""),(F322+F322*F331),IF(AND(D218="-"),0))))</f>
        <v>88.028169014084511</v>
      </c>
      <c r="G333" s="218" t="str">
        <f>G322</f>
        <v>varillas</v>
      </c>
      <c r="H333" s="2"/>
      <c r="I333" s="54"/>
    </row>
    <row r="334" spans="1:9" x14ac:dyDescent="0.25">
      <c r="A334" s="2"/>
      <c r="B334" s="2"/>
      <c r="C334" s="597" t="s">
        <v>254</v>
      </c>
      <c r="D334" s="598"/>
      <c r="E334" s="223"/>
      <c r="F334" s="217">
        <f>IF(D219="3/8""",(F323+F323*F329),IF(AND(D219="1/2"""),(F323+F323*F330),IF(AND(D219="5/8"""),(F323+F323*F331),IF(AND(D219="-"),0))))</f>
        <v>0</v>
      </c>
      <c r="G334" s="218" t="str">
        <f>G323</f>
        <v>-</v>
      </c>
      <c r="H334" s="2"/>
    </row>
    <row r="335" spans="1:9" x14ac:dyDescent="0.25">
      <c r="A335" s="2"/>
      <c r="B335" s="2"/>
      <c r="C335" s="438" t="s">
        <v>809</v>
      </c>
      <c r="D335" s="439" t="str">
        <f>D324</f>
        <v>6 mm</v>
      </c>
      <c r="E335" s="223"/>
      <c r="F335" s="217">
        <f>F324*1.03</f>
        <v>104.04040404040404</v>
      </c>
      <c r="G335" s="218" t="s">
        <v>812</v>
      </c>
      <c r="H335" s="2"/>
    </row>
    <row r="336" spans="1:9" x14ac:dyDescent="0.25">
      <c r="A336" s="2"/>
      <c r="B336" s="2"/>
      <c r="C336" s="811" t="s">
        <v>238</v>
      </c>
      <c r="D336" s="812"/>
      <c r="E336" s="223"/>
      <c r="F336" s="217">
        <f>F325+F325*0.05</f>
        <v>65.625</v>
      </c>
      <c r="G336" s="218" t="s">
        <v>169</v>
      </c>
      <c r="H336" s="2"/>
    </row>
    <row r="337" spans="1:8" x14ac:dyDescent="0.25">
      <c r="B337" s="2"/>
      <c r="C337" s="2"/>
      <c r="D337" s="2"/>
      <c r="E337" s="2"/>
      <c r="F337" s="2"/>
      <c r="G337" s="2"/>
      <c r="H337" s="2"/>
    </row>
    <row r="338" spans="1:8" x14ac:dyDescent="0.25">
      <c r="B338" s="2"/>
      <c r="C338" s="2"/>
      <c r="D338" s="2"/>
      <c r="E338" s="2"/>
      <c r="F338" s="2"/>
      <c r="G338" s="2"/>
      <c r="H338" s="2"/>
    </row>
    <row r="339" spans="1:8" x14ac:dyDescent="0.25">
      <c r="A339" s="2"/>
      <c r="B339" s="2"/>
      <c r="C339" s="2"/>
      <c r="D339" s="2"/>
      <c r="E339" s="2"/>
      <c r="F339" s="2"/>
      <c r="G339" s="2"/>
      <c r="H339" s="2"/>
    </row>
    <row r="340" spans="1:8" x14ac:dyDescent="0.25">
      <c r="A340" s="813" t="s">
        <v>814</v>
      </c>
      <c r="B340" s="813"/>
      <c r="C340" s="813"/>
      <c r="D340" s="2"/>
      <c r="E340" s="2"/>
      <c r="F340" s="2"/>
      <c r="G340" s="2"/>
      <c r="H340" s="2"/>
    </row>
    <row r="341" spans="1:8" x14ac:dyDescent="0.25">
      <c r="A341" s="2"/>
      <c r="B341" s="2"/>
      <c r="C341" s="2"/>
      <c r="D341" s="2"/>
      <c r="E341" s="2"/>
      <c r="F341" s="2"/>
      <c r="G341" s="2"/>
      <c r="H341" s="2"/>
    </row>
    <row r="342" spans="1:8" x14ac:dyDescent="0.25">
      <c r="A342" s="2"/>
      <c r="B342" s="2"/>
      <c r="C342" s="2"/>
      <c r="D342" s="2"/>
      <c r="E342" s="2"/>
      <c r="F342" s="2"/>
      <c r="G342" s="2"/>
      <c r="H342" s="2"/>
    </row>
    <row r="343" spans="1:8" x14ac:dyDescent="0.25">
      <c r="A343" s="2"/>
      <c r="B343" s="2"/>
      <c r="C343" s="2"/>
      <c r="D343" s="2"/>
      <c r="E343" s="2"/>
      <c r="F343" s="2"/>
      <c r="G343" s="2"/>
      <c r="H343" s="2"/>
    </row>
    <row r="344" spans="1:8" x14ac:dyDescent="0.25">
      <c r="A344" s="2"/>
      <c r="B344" s="2"/>
      <c r="C344" s="2"/>
      <c r="D344" s="596" t="s">
        <v>44</v>
      </c>
      <c r="E344" s="596"/>
      <c r="F344" s="161">
        <f>C116</f>
        <v>8</v>
      </c>
      <c r="G344" s="25" t="s">
        <v>7</v>
      </c>
      <c r="H344" s="2"/>
    </row>
    <row r="345" spans="1:8" x14ac:dyDescent="0.25">
      <c r="A345" s="2"/>
      <c r="B345" s="2"/>
      <c r="C345" s="2"/>
      <c r="D345" s="68"/>
      <c r="E345" s="68"/>
      <c r="F345" s="68"/>
      <c r="G345" s="2"/>
      <c r="H345" s="2"/>
    </row>
    <row r="346" spans="1:8" ht="15.75" x14ac:dyDescent="0.25">
      <c r="A346" s="2"/>
      <c r="B346" s="22" t="s">
        <v>815</v>
      </c>
      <c r="C346" s="2"/>
      <c r="D346" s="2"/>
      <c r="E346" s="2"/>
      <c r="F346" s="2"/>
      <c r="G346" s="2"/>
      <c r="H346" s="2"/>
    </row>
    <row r="347" spans="1:8" ht="15.75" x14ac:dyDescent="0.25">
      <c r="A347" s="2"/>
      <c r="B347" s="2"/>
      <c r="C347" s="499" t="s">
        <v>45</v>
      </c>
      <c r="D347" s="499"/>
      <c r="E347" s="68">
        <f>B120</f>
        <v>12</v>
      </c>
      <c r="F347" s="2" t="s">
        <v>166</v>
      </c>
      <c r="G347" s="2"/>
      <c r="H347" s="2"/>
    </row>
    <row r="348" spans="1:8" x14ac:dyDescent="0.25">
      <c r="A348" s="2"/>
      <c r="B348" s="2"/>
      <c r="C348" s="500" t="s">
        <v>46</v>
      </c>
      <c r="D348" s="501"/>
      <c r="E348" s="504" t="s">
        <v>47</v>
      </c>
      <c r="F348" s="505" t="s">
        <v>48</v>
      </c>
      <c r="G348" s="507" t="s">
        <v>49</v>
      </c>
      <c r="H348" s="2"/>
    </row>
    <row r="349" spans="1:8" x14ac:dyDescent="0.25">
      <c r="A349" s="2"/>
      <c r="B349" s="2"/>
      <c r="C349" s="502"/>
      <c r="D349" s="503"/>
      <c r="E349" s="504"/>
      <c r="F349" s="506"/>
      <c r="G349" s="507"/>
      <c r="H349" s="2"/>
    </row>
    <row r="350" spans="1:8" x14ac:dyDescent="0.25">
      <c r="A350" s="2"/>
      <c r="B350" s="2"/>
      <c r="C350" s="508" t="s">
        <v>816</v>
      </c>
      <c r="D350" s="509"/>
      <c r="E350" s="69" t="s">
        <v>11</v>
      </c>
      <c r="F350" s="70">
        <f>D120</f>
        <v>0.2</v>
      </c>
      <c r="G350" s="71">
        <f>(F350*F344)/E347</f>
        <v>0.13333333333333333</v>
      </c>
      <c r="H350" s="2"/>
    </row>
    <row r="351" spans="1:8" x14ac:dyDescent="0.25">
      <c r="A351" s="2"/>
      <c r="B351" s="2"/>
      <c r="C351" s="606"/>
      <c r="D351" s="607"/>
      <c r="E351" s="69" t="s">
        <v>12</v>
      </c>
      <c r="F351" s="70">
        <f>E120</f>
        <v>2</v>
      </c>
      <c r="G351" s="71">
        <f>(F351*F344)/E347</f>
        <v>1.3333333333333333</v>
      </c>
      <c r="H351" s="2"/>
    </row>
    <row r="352" spans="1:8" x14ac:dyDescent="0.25">
      <c r="A352" s="2"/>
      <c r="B352" s="2"/>
      <c r="C352" s="234" t="s">
        <v>308</v>
      </c>
      <c r="D352" s="235">
        <f>E69</f>
        <v>210</v>
      </c>
      <c r="E352" s="69" t="s">
        <v>13</v>
      </c>
      <c r="F352" s="70">
        <f>F120</f>
        <v>2</v>
      </c>
      <c r="G352" s="71">
        <f>(F352*F344)/E347</f>
        <v>1.3333333333333333</v>
      </c>
      <c r="H352" s="2"/>
    </row>
    <row r="353" spans="1:8" ht="15.75" customHeight="1" x14ac:dyDescent="0.25">
      <c r="A353" s="2"/>
      <c r="B353" s="2"/>
      <c r="C353" s="606" t="s">
        <v>309</v>
      </c>
      <c r="D353" s="607"/>
      <c r="E353" s="69" t="s">
        <v>14</v>
      </c>
      <c r="F353" s="70">
        <f>G120</f>
        <v>8</v>
      </c>
      <c r="G353" s="71">
        <f>(F353*F344)/E347</f>
        <v>5.333333333333333</v>
      </c>
      <c r="H353" s="2"/>
    </row>
    <row r="354" spans="1:8" x14ac:dyDescent="0.25">
      <c r="A354" s="2"/>
      <c r="B354" s="2"/>
      <c r="C354" s="612"/>
      <c r="D354" s="613"/>
      <c r="E354" s="69" t="s">
        <v>817</v>
      </c>
      <c r="F354" s="70">
        <f>H120</f>
        <v>1</v>
      </c>
      <c r="G354" s="71">
        <f>(F354*F344/E347)</f>
        <v>0.66666666666666663</v>
      </c>
      <c r="H354" s="2"/>
    </row>
    <row r="355" spans="1:8" x14ac:dyDescent="0.25">
      <c r="A355" s="2"/>
      <c r="B355" s="2"/>
      <c r="C355" s="2"/>
      <c r="D355" s="2"/>
      <c r="E355" s="2"/>
      <c r="F355" s="2"/>
      <c r="G355" s="2"/>
      <c r="H355" s="2"/>
    </row>
    <row r="356" spans="1:8" x14ac:dyDescent="0.25">
      <c r="A356" s="2"/>
      <c r="B356" s="2"/>
      <c r="C356" s="2"/>
      <c r="D356" s="2"/>
      <c r="E356" s="2"/>
      <c r="F356" s="2"/>
      <c r="G356" s="2"/>
      <c r="H356" s="2"/>
    </row>
    <row r="357" spans="1:8" ht="15.75" x14ac:dyDescent="0.25">
      <c r="A357" s="2"/>
      <c r="B357" s="22" t="s">
        <v>818</v>
      </c>
      <c r="C357" s="2"/>
      <c r="D357" s="2"/>
      <c r="E357" s="2"/>
      <c r="F357" s="2"/>
      <c r="G357" s="2"/>
      <c r="H357" s="2"/>
    </row>
    <row r="358" spans="1:8" ht="15.75" x14ac:dyDescent="0.25">
      <c r="A358" s="2"/>
      <c r="B358" s="2"/>
      <c r="C358" s="499" t="s">
        <v>45</v>
      </c>
      <c r="D358" s="499"/>
      <c r="E358" s="68">
        <f>B122</f>
        <v>14</v>
      </c>
      <c r="F358" s="2" t="s">
        <v>310</v>
      </c>
      <c r="G358" s="2"/>
      <c r="H358" s="2"/>
    </row>
    <row r="359" spans="1:8" x14ac:dyDescent="0.25">
      <c r="A359" s="2"/>
      <c r="B359" s="2"/>
      <c r="C359" s="500" t="s">
        <v>46</v>
      </c>
      <c r="D359" s="501"/>
      <c r="E359" s="504" t="s">
        <v>47</v>
      </c>
      <c r="F359" s="505" t="s">
        <v>48</v>
      </c>
      <c r="G359" s="507" t="s">
        <v>49</v>
      </c>
      <c r="H359" s="2"/>
    </row>
    <row r="360" spans="1:8" x14ac:dyDescent="0.25">
      <c r="A360" s="2"/>
      <c r="B360" s="2"/>
      <c r="C360" s="502"/>
      <c r="D360" s="503"/>
      <c r="E360" s="504"/>
      <c r="F360" s="506"/>
      <c r="G360" s="507"/>
      <c r="H360" s="2"/>
    </row>
    <row r="361" spans="1:8" x14ac:dyDescent="0.25">
      <c r="A361" s="2"/>
      <c r="B361" s="2"/>
      <c r="C361" s="508" t="s">
        <v>819</v>
      </c>
      <c r="D361" s="509"/>
      <c r="E361" s="69" t="s">
        <v>11</v>
      </c>
      <c r="F361" s="70">
        <f>D122</f>
        <v>0.1</v>
      </c>
      <c r="G361" s="71">
        <f>(F361*F344)/E358</f>
        <v>5.7142857142857148E-2</v>
      </c>
      <c r="H361" s="2"/>
    </row>
    <row r="362" spans="1:8" x14ac:dyDescent="0.25">
      <c r="A362" s="2"/>
      <c r="B362" s="2"/>
      <c r="C362" s="606"/>
      <c r="D362" s="607"/>
      <c r="E362" s="69" t="s">
        <v>12</v>
      </c>
      <c r="F362" s="70">
        <f>E122</f>
        <v>1</v>
      </c>
      <c r="G362" s="71">
        <f>(F362*F344)/E358</f>
        <v>0.5714285714285714</v>
      </c>
      <c r="H362" s="2"/>
    </row>
    <row r="363" spans="1:8" x14ac:dyDescent="0.25">
      <c r="A363" s="2"/>
      <c r="B363" s="2"/>
      <c r="C363" s="606"/>
      <c r="D363" s="607"/>
      <c r="E363" s="69" t="s">
        <v>13</v>
      </c>
      <c r="F363" s="70">
        <f>F122</f>
        <v>1</v>
      </c>
      <c r="G363" s="71">
        <f>(F363*F344)/E358</f>
        <v>0.5714285714285714</v>
      </c>
      <c r="H363" s="2"/>
    </row>
    <row r="364" spans="1:8" ht="15.75" customHeight="1" x14ac:dyDescent="0.25">
      <c r="A364" s="2"/>
      <c r="B364" s="2"/>
      <c r="C364" s="510"/>
      <c r="D364" s="511"/>
      <c r="E364" s="69" t="s">
        <v>14</v>
      </c>
      <c r="F364" s="70">
        <f>G122</f>
        <v>0.5</v>
      </c>
      <c r="G364" s="71">
        <f>(F364*F344)/E358</f>
        <v>0.2857142857142857</v>
      </c>
      <c r="H364" s="2"/>
    </row>
    <row r="365" spans="1:8" x14ac:dyDescent="0.25">
      <c r="A365" s="2"/>
      <c r="B365" s="2"/>
      <c r="C365" s="2"/>
      <c r="D365" s="2"/>
      <c r="E365" s="2"/>
      <c r="F365" s="2"/>
      <c r="G365" s="2"/>
      <c r="H365" s="2"/>
    </row>
    <row r="366" spans="1:8" x14ac:dyDescent="0.25">
      <c r="A366" s="2"/>
      <c r="B366" s="2"/>
      <c r="C366" s="2"/>
      <c r="D366" s="2"/>
      <c r="E366" s="2"/>
      <c r="F366" s="2"/>
      <c r="G366" s="2"/>
      <c r="H366" s="2"/>
    </row>
    <row r="367" spans="1:8" x14ac:dyDescent="0.25">
      <c r="A367" s="2"/>
      <c r="B367" s="22" t="s">
        <v>820</v>
      </c>
      <c r="C367" s="2"/>
      <c r="D367" s="2"/>
      <c r="E367" s="2"/>
      <c r="F367" s="2"/>
      <c r="G367" s="2"/>
      <c r="H367" s="2"/>
    </row>
    <row r="368" spans="1:8" ht="15.75" x14ac:dyDescent="0.25">
      <c r="A368" s="2"/>
      <c r="B368" s="2"/>
      <c r="C368" s="499" t="s">
        <v>45</v>
      </c>
      <c r="D368" s="499"/>
      <c r="E368" s="68">
        <f>B124</f>
        <v>250</v>
      </c>
      <c r="F368" s="236" t="s">
        <v>228</v>
      </c>
      <c r="G368" s="2"/>
      <c r="H368" s="2"/>
    </row>
    <row r="369" spans="1:8" x14ac:dyDescent="0.25">
      <c r="A369" s="2"/>
      <c r="B369" s="2"/>
      <c r="C369" s="500" t="s">
        <v>46</v>
      </c>
      <c r="D369" s="501"/>
      <c r="E369" s="504" t="s">
        <v>47</v>
      </c>
      <c r="F369" s="505" t="s">
        <v>48</v>
      </c>
      <c r="G369" s="507" t="s">
        <v>49</v>
      </c>
      <c r="H369" s="2"/>
    </row>
    <row r="370" spans="1:8" x14ac:dyDescent="0.25">
      <c r="A370" s="2"/>
      <c r="B370" s="2"/>
      <c r="C370" s="502"/>
      <c r="D370" s="503"/>
      <c r="E370" s="504"/>
      <c r="F370" s="506"/>
      <c r="G370" s="507"/>
      <c r="H370" s="2"/>
    </row>
    <row r="371" spans="1:8" x14ac:dyDescent="0.25">
      <c r="A371" s="2"/>
      <c r="B371" s="2"/>
      <c r="C371" s="508" t="s">
        <v>821</v>
      </c>
      <c r="D371" s="509"/>
      <c r="E371" s="69" t="s">
        <v>11</v>
      </c>
      <c r="F371" s="70">
        <f>D124</f>
        <v>0.1</v>
      </c>
      <c r="G371" s="71">
        <f>(F371*F344)/E368</f>
        <v>3.2000000000000002E-3</v>
      </c>
      <c r="H371" s="2"/>
    </row>
    <row r="372" spans="1:8" x14ac:dyDescent="0.25">
      <c r="A372" s="2"/>
      <c r="B372" s="2"/>
      <c r="C372" s="606"/>
      <c r="D372" s="607"/>
      <c r="E372" s="69" t="s">
        <v>12</v>
      </c>
      <c r="F372" s="70">
        <f>E124</f>
        <v>1</v>
      </c>
      <c r="G372" s="71">
        <f>(F372*F344)/E368</f>
        <v>3.2000000000000001E-2</v>
      </c>
      <c r="H372" s="2"/>
    </row>
    <row r="373" spans="1:8" x14ac:dyDescent="0.25">
      <c r="A373" s="2"/>
      <c r="B373" s="2"/>
      <c r="C373" s="606"/>
      <c r="D373" s="607"/>
      <c r="E373" s="69" t="s">
        <v>13</v>
      </c>
      <c r="F373" s="70">
        <f>F124</f>
        <v>1</v>
      </c>
      <c r="G373" s="71">
        <f>(F373*F344)/E368</f>
        <v>3.2000000000000001E-2</v>
      </c>
      <c r="H373" s="2"/>
    </row>
    <row r="374" spans="1:8" ht="15.75" customHeight="1" x14ac:dyDescent="0.25">
      <c r="A374" s="2"/>
      <c r="B374" s="2"/>
      <c r="C374" s="510"/>
      <c r="D374" s="511"/>
      <c r="E374" s="69" t="s">
        <v>14</v>
      </c>
      <c r="F374" s="70">
        <f>G124</f>
        <v>1</v>
      </c>
      <c r="G374" s="71">
        <f>(F374*F344)/E368</f>
        <v>3.2000000000000001E-2</v>
      </c>
      <c r="H374" s="2"/>
    </row>
    <row r="375" spans="1:8" x14ac:dyDescent="0.25">
      <c r="A375" s="2"/>
      <c r="B375" s="2"/>
      <c r="C375" s="2"/>
      <c r="D375" s="2"/>
      <c r="E375" s="2"/>
      <c r="F375" s="2"/>
      <c r="G375" s="2"/>
      <c r="H375" s="2"/>
    </row>
    <row r="376" spans="1:8" x14ac:dyDescent="0.25">
      <c r="A376" s="2"/>
      <c r="B376" s="2"/>
      <c r="C376" s="2"/>
      <c r="D376" s="2"/>
      <c r="E376" s="2"/>
      <c r="F376" s="2"/>
      <c r="G376" s="2"/>
      <c r="H376" s="2"/>
    </row>
    <row r="377" spans="1:8" x14ac:dyDescent="0.25">
      <c r="A377" s="2"/>
      <c r="B377" s="22" t="s">
        <v>822</v>
      </c>
      <c r="C377" s="2"/>
      <c r="D377" s="2"/>
      <c r="E377" s="2"/>
      <c r="F377" s="2"/>
      <c r="G377" s="2"/>
      <c r="H377" s="2"/>
    </row>
    <row r="378" spans="1:8" ht="15.75" x14ac:dyDescent="0.25">
      <c r="A378" s="2"/>
      <c r="B378" s="2"/>
      <c r="C378" s="499" t="s">
        <v>45</v>
      </c>
      <c r="D378" s="499"/>
      <c r="E378" s="68">
        <f>IF(F27=C25,B126,IF(AND(F27=C26),B128))</f>
        <v>1600</v>
      </c>
      <c r="F378" s="236" t="s">
        <v>763</v>
      </c>
      <c r="G378" s="2"/>
      <c r="H378" s="2"/>
    </row>
    <row r="379" spans="1:8" x14ac:dyDescent="0.25">
      <c r="A379" s="2"/>
      <c r="B379" s="2"/>
      <c r="C379" s="500" t="s">
        <v>46</v>
      </c>
      <c r="D379" s="501"/>
      <c r="E379" s="504" t="s">
        <v>47</v>
      </c>
      <c r="F379" s="505" t="s">
        <v>48</v>
      </c>
      <c r="G379" s="507" t="s">
        <v>49</v>
      </c>
      <c r="H379" s="2"/>
    </row>
    <row r="380" spans="1:8" x14ac:dyDescent="0.25">
      <c r="A380" s="2"/>
      <c r="B380" s="2"/>
      <c r="C380" s="502"/>
      <c r="D380" s="503"/>
      <c r="E380" s="504"/>
      <c r="F380" s="506"/>
      <c r="G380" s="507"/>
      <c r="H380" s="2"/>
    </row>
    <row r="381" spans="1:8" x14ac:dyDescent="0.25">
      <c r="A381" s="2"/>
      <c r="B381" s="2"/>
      <c r="C381" s="508" t="str">
        <f>IF(F27=C25,"LADRILLO HUECO",IF(AND(F27=C26),"LADRILLO CASETÓN"))</f>
        <v>LADRILLO HUECO</v>
      </c>
      <c r="D381" s="509"/>
      <c r="E381" s="69" t="s">
        <v>11</v>
      </c>
      <c r="F381" s="70">
        <f>IF(F27=C25,D126,IF(AND(F27=C26),D128))</f>
        <v>0.1</v>
      </c>
      <c r="G381" s="71">
        <f>(F381*F344)/E378</f>
        <v>5.0000000000000001E-4</v>
      </c>
      <c r="H381" s="2"/>
    </row>
    <row r="382" spans="1:8" x14ac:dyDescent="0.25">
      <c r="A382" s="2"/>
      <c r="B382" s="2"/>
      <c r="C382" s="237" t="s">
        <v>530</v>
      </c>
      <c r="D382" s="290">
        <f>IF(F27=C25,D38,IF(AND(F27=C26),C52))</f>
        <v>15</v>
      </c>
      <c r="E382" s="69" t="s">
        <v>12</v>
      </c>
      <c r="F382" s="70">
        <f>IF(F27=C25,E126,IF(AND(F27=C26),E128))</f>
        <v>1</v>
      </c>
      <c r="G382" s="71">
        <f>(F382*F344)/E378</f>
        <v>5.0000000000000001E-3</v>
      </c>
      <c r="H382" s="2"/>
    </row>
    <row r="383" spans="1:8" x14ac:dyDescent="0.25">
      <c r="A383" s="2"/>
      <c r="B383" s="2"/>
      <c r="C383" s="606" t="s">
        <v>823</v>
      </c>
      <c r="D383" s="607"/>
      <c r="E383" s="69" t="s">
        <v>13</v>
      </c>
      <c r="F383" s="70">
        <f>IF(F27=C25,F126,IF(AND(F27=C26),F128))</f>
        <v>0</v>
      </c>
      <c r="G383" s="71">
        <f>(F383*F344)/E378</f>
        <v>0</v>
      </c>
      <c r="H383" s="2"/>
    </row>
    <row r="384" spans="1:8" ht="15.75" customHeight="1" x14ac:dyDescent="0.25">
      <c r="A384" s="2"/>
      <c r="B384" s="2"/>
      <c r="C384" s="510" t="s">
        <v>824</v>
      </c>
      <c r="D384" s="511"/>
      <c r="E384" s="69" t="s">
        <v>14</v>
      </c>
      <c r="F384" s="70">
        <f>IF(F27=C25,G126,IF(AND(F27=C26),G128))</f>
        <v>5</v>
      </c>
      <c r="G384" s="71">
        <f>(F384*F344)/E378</f>
        <v>2.5000000000000001E-2</v>
      </c>
      <c r="H384" s="2"/>
    </row>
    <row r="385" spans="1:8" x14ac:dyDescent="0.25">
      <c r="A385" s="2"/>
      <c r="B385" s="2"/>
      <c r="C385" s="2"/>
      <c r="D385" s="2"/>
      <c r="E385" s="2"/>
      <c r="F385" s="2"/>
      <c r="G385" s="2"/>
      <c r="H385" s="2"/>
    </row>
    <row r="386" spans="1:8" x14ac:dyDescent="0.25">
      <c r="A386" s="2"/>
      <c r="B386" s="2"/>
      <c r="C386" s="2"/>
      <c r="D386" s="2"/>
      <c r="E386" s="2"/>
      <c r="F386" s="2"/>
      <c r="G386" s="2"/>
      <c r="H386" s="2"/>
    </row>
    <row r="387" spans="1:8" x14ac:dyDescent="0.25">
      <c r="A387" s="411" t="s">
        <v>825</v>
      </c>
      <c r="B387" s="411"/>
      <c r="C387" s="411"/>
      <c r="D387" s="239"/>
      <c r="E387" s="2"/>
      <c r="F387" s="2"/>
      <c r="G387" s="2"/>
      <c r="H387" s="2"/>
    </row>
    <row r="388" spans="1:8" x14ac:dyDescent="0.25">
      <c r="A388" s="2"/>
      <c r="B388" s="2"/>
      <c r="C388" s="2"/>
      <c r="D388" s="2"/>
      <c r="E388" s="2"/>
      <c r="F388" s="2"/>
      <c r="G388" s="2"/>
      <c r="H388" s="2"/>
    </row>
    <row r="389" spans="1:8" ht="15.75" x14ac:dyDescent="0.25">
      <c r="A389" s="2"/>
      <c r="B389" s="22" t="s">
        <v>826</v>
      </c>
      <c r="C389" s="2"/>
      <c r="D389" s="2"/>
      <c r="E389" s="2"/>
      <c r="F389" s="2"/>
      <c r="G389" s="2"/>
      <c r="H389" s="2"/>
    </row>
    <row r="390" spans="1:8" ht="15.75" x14ac:dyDescent="0.25">
      <c r="A390" s="2"/>
      <c r="B390" s="2"/>
      <c r="C390" s="499" t="s">
        <v>45</v>
      </c>
      <c r="D390" s="499"/>
      <c r="E390" s="68">
        <f>B120</f>
        <v>12</v>
      </c>
      <c r="F390" s="2" t="s">
        <v>166</v>
      </c>
      <c r="G390" s="2"/>
      <c r="H390" s="2"/>
    </row>
    <row r="391" spans="1:8" x14ac:dyDescent="0.25">
      <c r="A391" s="2"/>
      <c r="B391" s="2"/>
      <c r="C391" s="500" t="s">
        <v>46</v>
      </c>
      <c r="D391" s="501"/>
      <c r="E391" s="504" t="s">
        <v>52</v>
      </c>
      <c r="F391" s="505" t="s">
        <v>48</v>
      </c>
      <c r="G391" s="507" t="s">
        <v>53</v>
      </c>
      <c r="H391" s="2"/>
    </row>
    <row r="392" spans="1:8" x14ac:dyDescent="0.25">
      <c r="A392" s="2"/>
      <c r="B392" s="2"/>
      <c r="C392" s="502"/>
      <c r="D392" s="503"/>
      <c r="E392" s="504"/>
      <c r="F392" s="506"/>
      <c r="G392" s="507"/>
      <c r="H392" s="2"/>
    </row>
    <row r="393" spans="1:8" ht="18.75" customHeight="1" x14ac:dyDescent="0.25">
      <c r="A393" s="2"/>
      <c r="B393" s="2"/>
      <c r="C393" s="508" t="s">
        <v>816</v>
      </c>
      <c r="D393" s="509"/>
      <c r="E393" s="637" t="s">
        <v>264</v>
      </c>
      <c r="F393" s="514">
        <f>F136</f>
        <v>1</v>
      </c>
      <c r="G393" s="516">
        <f>(F393*F344)/E390</f>
        <v>0.66666666666666663</v>
      </c>
      <c r="H393" s="2"/>
    </row>
    <row r="394" spans="1:8" ht="18.75" customHeight="1" x14ac:dyDescent="0.25">
      <c r="A394" s="2"/>
      <c r="B394" s="2"/>
      <c r="C394" s="606"/>
      <c r="D394" s="607"/>
      <c r="E394" s="638"/>
      <c r="F394" s="515"/>
      <c r="G394" s="517"/>
      <c r="H394" s="2"/>
    </row>
    <row r="395" spans="1:8" ht="21" customHeight="1" x14ac:dyDescent="0.25">
      <c r="A395" s="2"/>
      <c r="B395" s="2"/>
      <c r="C395" s="237" t="s">
        <v>308</v>
      </c>
      <c r="D395" s="235">
        <f>E69</f>
        <v>210</v>
      </c>
      <c r="E395" s="637" t="s">
        <v>54</v>
      </c>
      <c r="F395" s="514">
        <f>F137</f>
        <v>1</v>
      </c>
      <c r="G395" s="516">
        <f>(F395*F344)/E390</f>
        <v>0.66666666666666663</v>
      </c>
      <c r="H395" s="2"/>
    </row>
    <row r="396" spans="1:8" ht="19.5" customHeight="1" x14ac:dyDescent="0.25">
      <c r="A396" s="2"/>
      <c r="B396" s="2"/>
      <c r="C396" s="510" t="s">
        <v>309</v>
      </c>
      <c r="D396" s="511"/>
      <c r="E396" s="638"/>
      <c r="F396" s="515"/>
      <c r="G396" s="517"/>
      <c r="H396" s="2"/>
    </row>
    <row r="397" spans="1:8" x14ac:dyDescent="0.25">
      <c r="A397" s="2"/>
      <c r="B397" s="2"/>
      <c r="C397" s="2"/>
      <c r="D397" s="2"/>
      <c r="E397" s="2"/>
      <c r="F397" s="2"/>
      <c r="G397" s="2"/>
      <c r="H397" s="2"/>
    </row>
    <row r="398" spans="1:8" x14ac:dyDescent="0.25">
      <c r="A398" s="2"/>
      <c r="B398" s="2"/>
      <c r="C398" s="2"/>
      <c r="D398" s="2"/>
      <c r="E398" s="2"/>
      <c r="F398" s="2"/>
      <c r="G398" s="2"/>
      <c r="H398" s="2"/>
    </row>
    <row r="399" spans="1:8" x14ac:dyDescent="0.25">
      <c r="A399" s="2"/>
      <c r="B399" s="2"/>
      <c r="C399" s="2"/>
      <c r="D399" s="2"/>
      <c r="E399" s="2"/>
      <c r="F399" s="2"/>
      <c r="G399" s="2"/>
      <c r="H399" s="2"/>
    </row>
    <row r="400" spans="1:8" x14ac:dyDescent="0.25">
      <c r="A400" s="411" t="s">
        <v>827</v>
      </c>
      <c r="B400" s="239"/>
      <c r="C400" s="239"/>
      <c r="D400" s="239"/>
      <c r="E400" s="2"/>
      <c r="F400" s="2"/>
      <c r="G400" s="2"/>
      <c r="H400" s="2"/>
    </row>
    <row r="401" spans="1:12" x14ac:dyDescent="0.25">
      <c r="A401" s="22"/>
      <c r="B401" s="2"/>
      <c r="C401" s="2"/>
      <c r="D401" s="2"/>
      <c r="E401" s="2"/>
      <c r="F401" s="2"/>
      <c r="G401" s="2"/>
      <c r="H401" s="2"/>
    </row>
    <row r="402" spans="1:12" ht="15.75" x14ac:dyDescent="0.25">
      <c r="A402" s="153"/>
      <c r="B402" s="153"/>
      <c r="C402" s="153"/>
      <c r="D402" s="153"/>
      <c r="E402" s="2"/>
      <c r="F402" s="2"/>
      <c r="G402" s="2"/>
      <c r="H402" s="2"/>
      <c r="I402" s="2"/>
    </row>
    <row r="403" spans="1:12" ht="15.75" customHeight="1" x14ac:dyDescent="0.25">
      <c r="A403" s="2"/>
      <c r="B403" s="2"/>
      <c r="C403" s="455" t="s">
        <v>171</v>
      </c>
      <c r="D403" s="455"/>
      <c r="E403" s="456" t="str">
        <f>IF(D206="SI","MAYOR A 50 UIT",IF(AND(D206="NO"),"MENOR A 50 UIT"))</f>
        <v>MAYOR A 50 UIT</v>
      </c>
      <c r="F403" s="456"/>
      <c r="G403" s="31"/>
      <c r="H403" s="31"/>
      <c r="I403" s="31"/>
      <c r="J403" s="154"/>
    </row>
    <row r="404" spans="1:12" ht="15.75" customHeight="1" x14ac:dyDescent="0.25">
      <c r="A404" s="2"/>
      <c r="B404" s="2"/>
      <c r="C404" s="455" t="s">
        <v>172</v>
      </c>
      <c r="D404" s="455"/>
      <c r="E404" s="6" t="str">
        <f>IF(E172="Incluido IGV","INCLUIDO IGV",IF(AND(E172="Sin IGV"),"SIN IGV"))</f>
        <v>SIN IGV</v>
      </c>
      <c r="F404" s="25"/>
      <c r="G404" s="2"/>
      <c r="H404" s="2"/>
      <c r="I404" s="2"/>
      <c r="K404" s="154"/>
      <c r="L404" s="154"/>
    </row>
    <row r="405" spans="1:12" ht="15.75" customHeight="1" x14ac:dyDescent="0.25">
      <c r="A405" s="2"/>
      <c r="B405" s="2"/>
      <c r="C405" s="77"/>
      <c r="D405" s="77"/>
      <c r="E405" s="4"/>
      <c r="F405" s="2"/>
      <c r="G405" s="2"/>
      <c r="H405" s="2"/>
      <c r="I405" s="2"/>
    </row>
    <row r="406" spans="1:12" x14ac:dyDescent="0.25">
      <c r="A406" s="22"/>
      <c r="B406" s="2"/>
      <c r="C406" s="2"/>
      <c r="D406" s="2"/>
      <c r="E406" s="2"/>
      <c r="F406" s="2"/>
      <c r="G406" s="2"/>
      <c r="H406" s="2"/>
    </row>
    <row r="407" spans="1:12" x14ac:dyDescent="0.25">
      <c r="A407" s="495" t="s">
        <v>56</v>
      </c>
      <c r="B407" s="495"/>
      <c r="C407" s="239" t="s">
        <v>828</v>
      </c>
      <c r="D407" s="239"/>
      <c r="E407" s="239"/>
      <c r="F407" s="238">
        <f>E69</f>
        <v>210</v>
      </c>
      <c r="G407" s="239" t="s">
        <v>193</v>
      </c>
      <c r="H407" s="2"/>
    </row>
    <row r="408" spans="1:12" ht="15.75" x14ac:dyDescent="0.25">
      <c r="A408" s="2"/>
      <c r="B408" s="2"/>
      <c r="C408" s="32" t="s">
        <v>57</v>
      </c>
      <c r="D408" s="68">
        <f>B120</f>
        <v>12</v>
      </c>
      <c r="E408" s="2" t="s">
        <v>168</v>
      </c>
      <c r="F408" s="2"/>
      <c r="G408" s="2"/>
      <c r="H408" s="2"/>
    </row>
    <row r="409" spans="1:12" ht="15.75" x14ac:dyDescent="0.25">
      <c r="A409" s="2"/>
      <c r="B409" s="2"/>
      <c r="C409" s="32" t="s">
        <v>58</v>
      </c>
      <c r="D409" s="76" t="s">
        <v>42</v>
      </c>
      <c r="E409" s="2"/>
      <c r="F409" s="77"/>
      <c r="G409" s="77" t="s">
        <v>59</v>
      </c>
      <c r="H409" s="78">
        <f>H412+H418+H425</f>
        <v>428.93156573837575</v>
      </c>
    </row>
    <row r="410" spans="1:12" x14ac:dyDescent="0.25">
      <c r="A410" s="497"/>
      <c r="B410" s="497"/>
      <c r="C410" s="26" t="s">
        <v>60</v>
      </c>
      <c r="D410" s="26" t="s">
        <v>61</v>
      </c>
      <c r="E410" s="26" t="s">
        <v>62</v>
      </c>
      <c r="F410" s="26" t="s">
        <v>63</v>
      </c>
      <c r="G410" s="497" t="s">
        <v>64</v>
      </c>
      <c r="H410" s="497"/>
      <c r="K410" s="80"/>
    </row>
    <row r="411" spans="1:12" x14ac:dyDescent="0.25">
      <c r="A411" s="470" t="s">
        <v>65</v>
      </c>
      <c r="B411" s="470"/>
      <c r="C411" s="470"/>
      <c r="D411" s="470"/>
      <c r="E411" s="470"/>
      <c r="F411" s="470"/>
      <c r="G411" s="498"/>
      <c r="H411" s="498"/>
    </row>
    <row r="412" spans="1:12" x14ac:dyDescent="0.25">
      <c r="A412" s="469" t="s">
        <v>66</v>
      </c>
      <c r="B412" s="469"/>
      <c r="C412" s="11" t="s">
        <v>67</v>
      </c>
      <c r="D412" s="81">
        <f>G350</f>
        <v>0.13333333333333333</v>
      </c>
      <c r="E412" s="12">
        <f>IF(D206="SI",G195,IF(AND(D206="NO"),((E181*1.1)/8)))</f>
        <v>26.646464625</v>
      </c>
      <c r="F412" s="82">
        <f>D412*E412</f>
        <v>3.55286195</v>
      </c>
      <c r="G412" s="473" t="s">
        <v>24</v>
      </c>
      <c r="H412" s="475">
        <f>F412+F413+F414+F415+F416</f>
        <v>170.96888341666664</v>
      </c>
    </row>
    <row r="413" spans="1:12" x14ac:dyDescent="0.25">
      <c r="A413" s="469" t="s">
        <v>68</v>
      </c>
      <c r="B413" s="469"/>
      <c r="C413" s="11" t="s">
        <v>67</v>
      </c>
      <c r="D413" s="81">
        <f>G351</f>
        <v>1.3333333333333333</v>
      </c>
      <c r="E413" s="12">
        <f>IF(D206="SI",G196,IF(AND(D206="NO"),(E181/8)))</f>
        <v>24.224058749999998</v>
      </c>
      <c r="F413" s="82">
        <f t="shared" ref="F413:F416" si="5">D413*E413</f>
        <v>32.298744999999997</v>
      </c>
      <c r="G413" s="519"/>
      <c r="H413" s="520"/>
    </row>
    <row r="414" spans="1:12" x14ac:dyDescent="0.25">
      <c r="A414" s="469" t="s">
        <v>69</v>
      </c>
      <c r="B414" s="469"/>
      <c r="C414" s="11" t="s">
        <v>67</v>
      </c>
      <c r="D414" s="81">
        <f>G352</f>
        <v>1.3333333333333333</v>
      </c>
      <c r="E414" s="12">
        <f>IF(D206="SI",G197,IF(AND(D206="NO"),(F181/8)))</f>
        <v>19.121340624999998</v>
      </c>
      <c r="F414" s="82">
        <f t="shared" si="5"/>
        <v>25.495120833333331</v>
      </c>
      <c r="G414" s="519"/>
      <c r="H414" s="520"/>
    </row>
    <row r="415" spans="1:12" x14ac:dyDescent="0.25">
      <c r="A415" s="469" t="s">
        <v>70</v>
      </c>
      <c r="B415" s="469"/>
      <c r="C415" s="11" t="s">
        <v>67</v>
      </c>
      <c r="D415" s="81">
        <f>G353</f>
        <v>5.333333333333333</v>
      </c>
      <c r="E415" s="12">
        <f>IF(D206="SI",G198,IF(AND(D206="NO"),(G181/8)))</f>
        <v>17.283906249999998</v>
      </c>
      <c r="F415" s="82">
        <f t="shared" si="5"/>
        <v>92.180833333333311</v>
      </c>
      <c r="G415" s="519"/>
      <c r="H415" s="520"/>
    </row>
    <row r="416" spans="1:12" x14ac:dyDescent="0.25">
      <c r="A416" s="477" t="s">
        <v>829</v>
      </c>
      <c r="B416" s="478"/>
      <c r="C416" s="11" t="s">
        <v>67</v>
      </c>
      <c r="D416" s="81">
        <f>G354</f>
        <v>0.66666666666666663</v>
      </c>
      <c r="E416" s="12">
        <f>IF(D206="SI",G200,IF(AND(D206="NO"),((E181*1.08)/8)))</f>
        <v>26.161983449999997</v>
      </c>
      <c r="F416" s="82">
        <f t="shared" si="5"/>
        <v>17.441322299999996</v>
      </c>
      <c r="G416" s="474"/>
      <c r="H416" s="476"/>
    </row>
    <row r="417" spans="1:11" x14ac:dyDescent="0.25">
      <c r="A417" s="470" t="s">
        <v>72</v>
      </c>
      <c r="B417" s="470"/>
      <c r="C417" s="470"/>
      <c r="D417" s="470"/>
      <c r="E417" s="470"/>
      <c r="F417" s="470"/>
      <c r="G417" s="471"/>
      <c r="H417" s="471"/>
    </row>
    <row r="418" spans="1:11" x14ac:dyDescent="0.25">
      <c r="A418" s="469" t="s">
        <v>73</v>
      </c>
      <c r="B418" s="469"/>
      <c r="C418" s="11" t="s">
        <v>74</v>
      </c>
      <c r="D418" s="12">
        <f>F277</f>
        <v>9.73</v>
      </c>
      <c r="E418" s="12">
        <f>IF(E172="Incluido IGV",F151,IF(AND(E172="Sin IGV"),H151))</f>
        <v>18.64406779661017</v>
      </c>
      <c r="F418" s="82">
        <f>D418*E418</f>
        <v>181.40677966101697</v>
      </c>
      <c r="G418" s="473" t="s">
        <v>24</v>
      </c>
      <c r="H418" s="475">
        <f>F418+F419+F420+F421+F422+F423</f>
        <v>240.40423728813565</v>
      </c>
      <c r="J418" s="152"/>
    </row>
    <row r="419" spans="1:11" ht="15.75" x14ac:dyDescent="0.25">
      <c r="A419" s="469" t="s">
        <v>267</v>
      </c>
      <c r="B419" s="469"/>
      <c r="C419" s="11" t="s">
        <v>76</v>
      </c>
      <c r="D419" s="12">
        <f>F278</f>
        <v>0.52</v>
      </c>
      <c r="E419" s="12">
        <f>IF(E172="Incluido IGV",F152,IF(AND(E172="Sin IGV"),H152))</f>
        <v>50.847457627118644</v>
      </c>
      <c r="F419" s="82">
        <f t="shared" ref="F419:F423" si="6">D419*E419</f>
        <v>26.440677966101696</v>
      </c>
      <c r="G419" s="519"/>
      <c r="H419" s="520"/>
      <c r="J419" s="152"/>
      <c r="K419" s="83"/>
    </row>
    <row r="420" spans="1:11" ht="15.75" x14ac:dyDescent="0.25">
      <c r="A420" s="469" t="s">
        <v>268</v>
      </c>
      <c r="B420" s="469"/>
      <c r="C420" s="11" t="s">
        <v>76</v>
      </c>
      <c r="D420" s="12">
        <f>F279</f>
        <v>0.53</v>
      </c>
      <c r="E420" s="12">
        <f>IF(E172="Incluido IGV",F153,IF(AND(E172="Sin IGV"),H153))</f>
        <v>55.084745762711869</v>
      </c>
      <c r="F420" s="82">
        <f t="shared" si="6"/>
        <v>29.194915254237291</v>
      </c>
      <c r="G420" s="519"/>
      <c r="H420" s="520"/>
      <c r="J420" s="152"/>
      <c r="K420" s="83"/>
    </row>
    <row r="421" spans="1:11" ht="15.75" x14ac:dyDescent="0.25">
      <c r="A421" s="469" t="s">
        <v>77</v>
      </c>
      <c r="B421" s="469"/>
      <c r="C421" s="11" t="s">
        <v>76</v>
      </c>
      <c r="D421" s="170">
        <f>F280</f>
        <v>0.186</v>
      </c>
      <c r="E421" s="12">
        <f>IF(E172="Incluido IGV",F154,IF(AND(E172="Sin IGV"),H154))</f>
        <v>4.2372881355932206</v>
      </c>
      <c r="F421" s="82">
        <f t="shared" si="6"/>
        <v>0.78813559322033899</v>
      </c>
      <c r="G421" s="519"/>
      <c r="H421" s="520"/>
      <c r="J421" s="152"/>
      <c r="K421" s="83"/>
    </row>
    <row r="422" spans="1:11" x14ac:dyDescent="0.25">
      <c r="A422" s="477" t="str">
        <f>IF(G81="NO","GASOLINA DE 84 OCTANOS",IF(AND(G81="SI"),"-"))</f>
        <v>GASOLINA DE 84 OCTANOS</v>
      </c>
      <c r="B422" s="478"/>
      <c r="C422" s="11" t="str">
        <f>IF(G81="NO","galón",IF(AND(G81="SI"),"-"))</f>
        <v>galón</v>
      </c>
      <c r="D422" s="170">
        <f>IF(G81="NO",E78,IF(AND(G81="SI"),0))</f>
        <v>0.3</v>
      </c>
      <c r="E422" s="12">
        <f>IF(E172="Incluido IGV",F155,IF(AND(E172="Sin IGV"),H155))</f>
        <v>8.1271186440677976</v>
      </c>
      <c r="F422" s="82">
        <f t="shared" si="6"/>
        <v>2.438135593220339</v>
      </c>
      <c r="G422" s="519"/>
      <c r="H422" s="520"/>
      <c r="J422" s="152"/>
      <c r="K422" s="83"/>
    </row>
    <row r="423" spans="1:11" x14ac:dyDescent="0.25">
      <c r="A423" s="477" t="str">
        <f>IF(G82="NO","GRASA MULTIPROPÓSITOS",IF(AND(G82="SI"),"-"))</f>
        <v>GRASA MULTIPROPÓSITOS</v>
      </c>
      <c r="B423" s="478"/>
      <c r="C423" s="11" t="str">
        <f>IF(G82="NO","kg",IF(AND(G82="SI"),"-"))</f>
        <v>kg</v>
      </c>
      <c r="D423" s="170">
        <f>IF(G82="NO",E79,IF(AND(G82="SI"),0))</f>
        <v>8.0000000000000002E-3</v>
      </c>
      <c r="E423" s="12">
        <f>IF(E172="Incluido IGV",F156,IF(AND(E172="Sin IGV"),H156))</f>
        <v>16.949152542372882</v>
      </c>
      <c r="F423" s="82">
        <f t="shared" si="6"/>
        <v>0.13559322033898305</v>
      </c>
      <c r="G423" s="474"/>
      <c r="H423" s="476"/>
      <c r="J423" s="152"/>
      <c r="K423" s="83"/>
    </row>
    <row r="424" spans="1:11" x14ac:dyDescent="0.25">
      <c r="A424" s="470" t="s">
        <v>78</v>
      </c>
      <c r="B424" s="470"/>
      <c r="C424" s="470"/>
      <c r="D424" s="470"/>
      <c r="E424" s="470"/>
      <c r="F424" s="470"/>
      <c r="G424" s="471"/>
      <c r="H424" s="471"/>
      <c r="K424" s="83"/>
    </row>
    <row r="425" spans="1:11" x14ac:dyDescent="0.25">
      <c r="A425" s="477" t="s">
        <v>269</v>
      </c>
      <c r="B425" s="478"/>
      <c r="C425" s="11" t="s">
        <v>80</v>
      </c>
      <c r="D425" s="240">
        <f>G393</f>
        <v>0.66666666666666663</v>
      </c>
      <c r="E425" s="241">
        <f>IF(E172="Incluido IGV",F168,IF(AND(E172="Sin IGV"),H168))</f>
        <v>8.4745762711864412</v>
      </c>
      <c r="F425" s="242">
        <f>D425*E425</f>
        <v>5.6497175141242941</v>
      </c>
      <c r="G425" s="473" t="s">
        <v>24</v>
      </c>
      <c r="H425" s="475">
        <f>F425+F426+F427</f>
        <v>17.558445033573445</v>
      </c>
      <c r="K425" s="83"/>
    </row>
    <row r="426" spans="1:11" x14ac:dyDescent="0.25">
      <c r="A426" s="477" t="s">
        <v>79</v>
      </c>
      <c r="B426" s="478"/>
      <c r="C426" s="11" t="s">
        <v>80</v>
      </c>
      <c r="D426" s="240">
        <f>G395</f>
        <v>0.66666666666666663</v>
      </c>
      <c r="E426" s="241">
        <f>IF(E172="Incluido IGV",F169,IF(AND(E172="Sin IGV"),H169))</f>
        <v>10.16949152542373</v>
      </c>
      <c r="F426" s="242">
        <f>D426*E426</f>
        <v>6.7796610169491531</v>
      </c>
      <c r="G426" s="519"/>
      <c r="H426" s="520"/>
      <c r="K426" s="83"/>
    </row>
    <row r="427" spans="1:11" x14ac:dyDescent="0.25">
      <c r="A427" s="477" t="s">
        <v>81</v>
      </c>
      <c r="B427" s="478"/>
      <c r="C427" s="11" t="s">
        <v>82</v>
      </c>
      <c r="D427" s="86">
        <f>E141</f>
        <v>0.03</v>
      </c>
      <c r="E427" s="12">
        <f>H412</f>
        <v>170.96888341666664</v>
      </c>
      <c r="F427" s="12">
        <f>D427*E427</f>
        <v>5.1290665024999988</v>
      </c>
      <c r="G427" s="474"/>
      <c r="H427" s="476"/>
      <c r="K427" s="83"/>
    </row>
    <row r="428" spans="1:11" x14ac:dyDescent="0.25">
      <c r="A428" s="2"/>
      <c r="B428" s="2"/>
      <c r="C428" s="2"/>
      <c r="D428" s="2"/>
      <c r="E428" s="2"/>
      <c r="F428" s="2"/>
      <c r="G428" s="2"/>
      <c r="H428" s="2"/>
    </row>
    <row r="429" spans="1:11" x14ac:dyDescent="0.25">
      <c r="A429" s="2"/>
      <c r="B429" s="2"/>
      <c r="C429" s="2"/>
      <c r="D429" s="2"/>
      <c r="E429" s="2"/>
      <c r="F429" s="2"/>
      <c r="G429" s="2"/>
      <c r="H429" s="2"/>
    </row>
    <row r="430" spans="1:11" x14ac:dyDescent="0.25">
      <c r="A430" s="2"/>
      <c r="B430" s="2"/>
      <c r="C430" s="2"/>
      <c r="D430" s="2"/>
      <c r="E430" s="2"/>
      <c r="F430" s="2"/>
      <c r="G430" s="2"/>
      <c r="H430" s="2"/>
    </row>
    <row r="431" spans="1:11" x14ac:dyDescent="0.25">
      <c r="A431" s="495" t="s">
        <v>56</v>
      </c>
      <c r="B431" s="495"/>
      <c r="C431" s="239" t="s">
        <v>819</v>
      </c>
      <c r="D431" s="239"/>
      <c r="E431" s="239"/>
      <c r="F431" s="238"/>
      <c r="G431" s="239"/>
      <c r="H431" s="2"/>
    </row>
    <row r="432" spans="1:11" ht="15.75" x14ac:dyDescent="0.25">
      <c r="A432" s="2"/>
      <c r="B432" s="2"/>
      <c r="C432" s="32" t="s">
        <v>57</v>
      </c>
      <c r="D432" s="68">
        <f>B122</f>
        <v>14</v>
      </c>
      <c r="E432" s="2" t="s">
        <v>313</v>
      </c>
      <c r="F432" s="2"/>
      <c r="G432" s="2"/>
      <c r="H432" s="2"/>
    </row>
    <row r="433" spans="1:11" ht="15.75" x14ac:dyDescent="0.25">
      <c r="A433" s="2"/>
      <c r="B433" s="2"/>
      <c r="C433" s="32" t="s">
        <v>58</v>
      </c>
      <c r="D433" s="76" t="s">
        <v>314</v>
      </c>
      <c r="E433" s="2"/>
      <c r="F433" s="77"/>
      <c r="G433" s="77" t="s">
        <v>59</v>
      </c>
      <c r="H433" s="78">
        <f>H436+H441+H445</f>
        <v>55.391181374829294</v>
      </c>
    </row>
    <row r="434" spans="1:11" x14ac:dyDescent="0.25">
      <c r="A434" s="497"/>
      <c r="B434" s="497"/>
      <c r="C434" s="26" t="s">
        <v>60</v>
      </c>
      <c r="D434" s="26" t="s">
        <v>61</v>
      </c>
      <c r="E434" s="26" t="s">
        <v>62</v>
      </c>
      <c r="F434" s="26" t="s">
        <v>63</v>
      </c>
      <c r="G434" s="497" t="s">
        <v>64</v>
      </c>
      <c r="H434" s="497"/>
      <c r="K434" s="80"/>
    </row>
    <row r="435" spans="1:11" x14ac:dyDescent="0.25">
      <c r="A435" s="470" t="s">
        <v>65</v>
      </c>
      <c r="B435" s="470"/>
      <c r="C435" s="470"/>
      <c r="D435" s="470"/>
      <c r="E435" s="470"/>
      <c r="F435" s="470"/>
      <c r="G435" s="498"/>
      <c r="H435" s="498"/>
    </row>
    <row r="436" spans="1:11" x14ac:dyDescent="0.25">
      <c r="A436" s="469" t="s">
        <v>66</v>
      </c>
      <c r="B436" s="469"/>
      <c r="C436" s="11" t="s">
        <v>67</v>
      </c>
      <c r="D436" s="81">
        <f>G361</f>
        <v>5.7142857142857148E-2</v>
      </c>
      <c r="E436" s="12">
        <f>E412</f>
        <v>26.646464625</v>
      </c>
      <c r="F436" s="82">
        <f>D436*E436</f>
        <v>1.5226551214285715</v>
      </c>
      <c r="G436" s="473" t="s">
        <v>24</v>
      </c>
      <c r="H436" s="475">
        <f>F436+F437+F438+F439</f>
        <v>31.229713692857139</v>
      </c>
    </row>
    <row r="437" spans="1:11" x14ac:dyDescent="0.25">
      <c r="A437" s="469" t="s">
        <v>68</v>
      </c>
      <c r="B437" s="469"/>
      <c r="C437" s="11" t="s">
        <v>67</v>
      </c>
      <c r="D437" s="81">
        <f>G362</f>
        <v>0.5714285714285714</v>
      </c>
      <c r="E437" s="12">
        <f t="shared" ref="E437:E439" si="7">E413</f>
        <v>24.224058749999998</v>
      </c>
      <c r="F437" s="82">
        <f t="shared" ref="F437:F439" si="8">D437*E437</f>
        <v>13.842319285714284</v>
      </c>
      <c r="G437" s="519"/>
      <c r="H437" s="520"/>
      <c r="J437" s="2"/>
    </row>
    <row r="438" spans="1:11" x14ac:dyDescent="0.25">
      <c r="A438" s="469" t="s">
        <v>69</v>
      </c>
      <c r="B438" s="469"/>
      <c r="C438" s="11" t="s">
        <v>67</v>
      </c>
      <c r="D438" s="81">
        <f>G363</f>
        <v>0.5714285714285714</v>
      </c>
      <c r="E438" s="12">
        <f t="shared" si="7"/>
        <v>19.121340624999998</v>
      </c>
      <c r="F438" s="82">
        <f t="shared" si="8"/>
        <v>10.926480357142855</v>
      </c>
      <c r="G438" s="519"/>
      <c r="H438" s="520"/>
    </row>
    <row r="439" spans="1:11" x14ac:dyDescent="0.25">
      <c r="A439" s="469" t="s">
        <v>70</v>
      </c>
      <c r="B439" s="469"/>
      <c r="C439" s="11" t="s">
        <v>67</v>
      </c>
      <c r="D439" s="81">
        <f>G364</f>
        <v>0.2857142857142857</v>
      </c>
      <c r="E439" s="12">
        <f t="shared" si="7"/>
        <v>17.283906249999998</v>
      </c>
      <c r="F439" s="82">
        <f t="shared" si="8"/>
        <v>4.938258928571428</v>
      </c>
      <c r="G439" s="474"/>
      <c r="H439" s="476"/>
    </row>
    <row r="440" spans="1:11" x14ac:dyDescent="0.25">
      <c r="A440" s="470" t="s">
        <v>72</v>
      </c>
      <c r="B440" s="470"/>
      <c r="C440" s="470"/>
      <c r="D440" s="470"/>
      <c r="E440" s="470"/>
      <c r="F440" s="470"/>
      <c r="G440" s="471"/>
      <c r="H440" s="471"/>
    </row>
    <row r="441" spans="1:11" ht="15.75" x14ac:dyDescent="0.25">
      <c r="A441" s="469" t="s">
        <v>270</v>
      </c>
      <c r="B441" s="469"/>
      <c r="C441" s="11" t="s">
        <v>315</v>
      </c>
      <c r="D441" s="12">
        <f>F295</f>
        <v>5.15</v>
      </c>
      <c r="E441" s="12">
        <f>IF(E172="Incluido IGV",F162,IF(AND(E172="Sin IGV"),H162))</f>
        <v>3.8135593220338984</v>
      </c>
      <c r="F441" s="82">
        <f>D441*E441</f>
        <v>19.639830508474578</v>
      </c>
      <c r="G441" s="473" t="s">
        <v>24</v>
      </c>
      <c r="H441" s="475">
        <f>F441+F442+F443</f>
        <v>23.224576271186443</v>
      </c>
      <c r="J441" s="152"/>
      <c r="K441" s="152"/>
    </row>
    <row r="442" spans="1:11" x14ac:dyDescent="0.25">
      <c r="A442" s="469" t="s">
        <v>271</v>
      </c>
      <c r="B442" s="469"/>
      <c r="C442" s="11" t="s">
        <v>169</v>
      </c>
      <c r="D442" s="12">
        <f>F296</f>
        <v>0.2</v>
      </c>
      <c r="E442" s="12">
        <f>IF(E172="Incluido IGV",F163,IF(AND(E172="Sin IGV"),H163))</f>
        <v>5.8474576271186445</v>
      </c>
      <c r="F442" s="82">
        <f t="shared" ref="F442:F443" si="9">D442*E442</f>
        <v>1.169491525423729</v>
      </c>
      <c r="G442" s="519"/>
      <c r="H442" s="520"/>
      <c r="J442" s="152"/>
      <c r="K442" s="152"/>
    </row>
    <row r="443" spans="1:11" x14ac:dyDescent="0.25">
      <c r="A443" s="469" t="s">
        <v>273</v>
      </c>
      <c r="B443" s="469"/>
      <c r="C443" s="11" t="s">
        <v>169</v>
      </c>
      <c r="D443" s="12">
        <f>F297</f>
        <v>0.5</v>
      </c>
      <c r="E443" s="12">
        <f>IF(E172="Incluido IGV",F161,IF(AND(E172="Sin IGV"),H161))</f>
        <v>4.8305084745762716</v>
      </c>
      <c r="F443" s="82">
        <f t="shared" si="9"/>
        <v>2.4152542372881358</v>
      </c>
      <c r="G443" s="474"/>
      <c r="H443" s="476"/>
      <c r="J443" s="152"/>
      <c r="K443" s="152"/>
    </row>
    <row r="444" spans="1:11" x14ac:dyDescent="0.25">
      <c r="A444" s="470" t="s">
        <v>78</v>
      </c>
      <c r="B444" s="470"/>
      <c r="C444" s="470"/>
      <c r="D444" s="470"/>
      <c r="E444" s="470"/>
      <c r="F444" s="470"/>
      <c r="G444" s="471"/>
      <c r="H444" s="471"/>
      <c r="K444" s="83"/>
    </row>
    <row r="445" spans="1:11" x14ac:dyDescent="0.25">
      <c r="A445" s="477" t="s">
        <v>81</v>
      </c>
      <c r="B445" s="478"/>
      <c r="C445" s="11" t="s">
        <v>82</v>
      </c>
      <c r="D445" s="86">
        <f>E141</f>
        <v>0.03</v>
      </c>
      <c r="E445" s="12">
        <f>H436</f>
        <v>31.229713692857139</v>
      </c>
      <c r="F445" s="82">
        <f>D445*E445</f>
        <v>0.93689141078571414</v>
      </c>
      <c r="G445" s="243" t="s">
        <v>24</v>
      </c>
      <c r="H445" s="244">
        <f>F445</f>
        <v>0.93689141078571414</v>
      </c>
      <c r="K445" s="83"/>
    </row>
    <row r="446" spans="1:11" x14ac:dyDescent="0.25">
      <c r="A446" s="2"/>
      <c r="B446" s="2"/>
      <c r="C446" s="2"/>
      <c r="D446" s="2"/>
      <c r="E446" s="2"/>
      <c r="F446" s="2"/>
      <c r="G446" s="2"/>
      <c r="H446" s="2"/>
    </row>
    <row r="447" spans="1:11" x14ac:dyDescent="0.25">
      <c r="A447" s="2"/>
      <c r="B447" s="2"/>
      <c r="C447" s="2"/>
      <c r="D447" s="2"/>
      <c r="E447" s="2"/>
      <c r="F447" s="2"/>
      <c r="G447" s="2"/>
      <c r="H447" s="2"/>
    </row>
    <row r="448" spans="1:11" x14ac:dyDescent="0.25">
      <c r="A448" s="2"/>
      <c r="B448" s="2"/>
      <c r="C448" s="2"/>
      <c r="D448" s="2"/>
      <c r="E448" s="2"/>
      <c r="F448" s="2"/>
      <c r="G448" s="2"/>
      <c r="H448" s="2"/>
    </row>
    <row r="449" spans="1:17" x14ac:dyDescent="0.25">
      <c r="A449" s="495" t="s">
        <v>56</v>
      </c>
      <c r="B449" s="495"/>
      <c r="C449" s="239" t="s">
        <v>830</v>
      </c>
      <c r="D449" s="239"/>
      <c r="E449" s="239"/>
      <c r="F449" s="68"/>
      <c r="G449" s="2"/>
      <c r="H449" s="2"/>
    </row>
    <row r="450" spans="1:17" x14ac:dyDescent="0.25">
      <c r="A450" s="2"/>
      <c r="B450" s="2"/>
      <c r="C450" s="32" t="s">
        <v>57</v>
      </c>
      <c r="D450" s="68">
        <f>B124</f>
        <v>250</v>
      </c>
      <c r="E450" s="2" t="s">
        <v>228</v>
      </c>
      <c r="F450" s="2"/>
      <c r="G450" s="2"/>
      <c r="H450" s="2"/>
    </row>
    <row r="451" spans="1:17" x14ac:dyDescent="0.25">
      <c r="A451" s="2"/>
      <c r="B451" s="2"/>
      <c r="C451" s="32" t="s">
        <v>58</v>
      </c>
      <c r="D451" s="76" t="s">
        <v>169</v>
      </c>
      <c r="E451" s="2"/>
      <c r="F451" s="77"/>
      <c r="G451" s="77" t="s">
        <v>59</v>
      </c>
      <c r="H451" s="78">
        <f>H454+H459+H462</f>
        <v>6.8055893713651185</v>
      </c>
    </row>
    <row r="452" spans="1:17" x14ac:dyDescent="0.25">
      <c r="A452" s="497"/>
      <c r="B452" s="497"/>
      <c r="C452" s="26" t="s">
        <v>60</v>
      </c>
      <c r="D452" s="26" t="s">
        <v>61</v>
      </c>
      <c r="E452" s="26" t="s">
        <v>62</v>
      </c>
      <c r="F452" s="26" t="s">
        <v>63</v>
      </c>
      <c r="G452" s="497" t="s">
        <v>64</v>
      </c>
      <c r="H452" s="497"/>
      <c r="K452" s="80"/>
    </row>
    <row r="453" spans="1:17" x14ac:dyDescent="0.25">
      <c r="A453" s="470" t="s">
        <v>65</v>
      </c>
      <c r="B453" s="470"/>
      <c r="C453" s="470"/>
      <c r="D453" s="470"/>
      <c r="E453" s="470"/>
      <c r="F453" s="470"/>
      <c r="G453" s="498"/>
      <c r="H453" s="498"/>
    </row>
    <row r="454" spans="1:17" x14ac:dyDescent="0.25">
      <c r="A454" s="469" t="s">
        <v>66</v>
      </c>
      <c r="B454" s="469"/>
      <c r="C454" s="11" t="s">
        <v>67</v>
      </c>
      <c r="D454" s="81">
        <f>G371</f>
        <v>3.2000000000000002E-3</v>
      </c>
      <c r="E454" s="12">
        <f>E412</f>
        <v>26.646464625</v>
      </c>
      <c r="F454" s="82">
        <f>D454*E454</f>
        <v>8.5268686800000007E-2</v>
      </c>
      <c r="G454" s="473" t="s">
        <v>24</v>
      </c>
      <c r="H454" s="475">
        <f>F454+F455+F456+F457</f>
        <v>2.0254064667999998</v>
      </c>
      <c r="K454" s="2"/>
    </row>
    <row r="455" spans="1:17" x14ac:dyDescent="0.25">
      <c r="A455" s="469" t="s">
        <v>68</v>
      </c>
      <c r="B455" s="469"/>
      <c r="C455" s="11" t="s">
        <v>67</v>
      </c>
      <c r="D455" s="81">
        <f>G372</f>
        <v>3.2000000000000001E-2</v>
      </c>
      <c r="E455" s="12">
        <f t="shared" ref="E455:E457" si="10">E413</f>
        <v>24.224058749999998</v>
      </c>
      <c r="F455" s="82">
        <f t="shared" ref="F455:F457" si="11">D455*E455</f>
        <v>0.77516987999999998</v>
      </c>
      <c r="G455" s="519"/>
      <c r="H455" s="520"/>
      <c r="K455" s="54"/>
    </row>
    <row r="456" spans="1:17" x14ac:dyDescent="0.25">
      <c r="A456" s="469" t="s">
        <v>69</v>
      </c>
      <c r="B456" s="469"/>
      <c r="C456" s="11" t="s">
        <v>67</v>
      </c>
      <c r="D456" s="81">
        <f>G373</f>
        <v>3.2000000000000001E-2</v>
      </c>
      <c r="E456" s="12">
        <f t="shared" si="10"/>
        <v>19.121340624999998</v>
      </c>
      <c r="F456" s="82">
        <f t="shared" si="11"/>
        <v>0.61188290000000001</v>
      </c>
      <c r="G456" s="519"/>
      <c r="H456" s="520"/>
      <c r="N456" s="54"/>
      <c r="O456" s="54"/>
    </row>
    <row r="457" spans="1:17" x14ac:dyDescent="0.25">
      <c r="A457" s="469" t="s">
        <v>70</v>
      </c>
      <c r="B457" s="469"/>
      <c r="C457" s="11" t="s">
        <v>67</v>
      </c>
      <c r="D457" s="81">
        <f>G374</f>
        <v>3.2000000000000001E-2</v>
      </c>
      <c r="E457" s="12">
        <f t="shared" si="10"/>
        <v>17.283906249999998</v>
      </c>
      <c r="F457" s="82">
        <f t="shared" si="11"/>
        <v>0.55308499999999994</v>
      </c>
      <c r="G457" s="474"/>
      <c r="H457" s="476"/>
      <c r="N457" s="54"/>
      <c r="O457" s="54"/>
    </row>
    <row r="458" spans="1:17" x14ac:dyDescent="0.25">
      <c r="A458" s="470" t="s">
        <v>72</v>
      </c>
      <c r="B458" s="470"/>
      <c r="C458" s="470"/>
      <c r="D458" s="470"/>
      <c r="E458" s="470"/>
      <c r="F458" s="470"/>
      <c r="G458" s="471"/>
      <c r="H458" s="471"/>
      <c r="N458" s="54"/>
      <c r="O458" s="54"/>
    </row>
    <row r="459" spans="1:17" x14ac:dyDescent="0.25">
      <c r="A459" s="469" t="s">
        <v>316</v>
      </c>
      <c r="B459" s="469"/>
      <c r="C459" s="11" t="s">
        <v>169</v>
      </c>
      <c r="D459" s="170">
        <f>F310</f>
        <v>1.042</v>
      </c>
      <c r="E459" s="12">
        <f>IF(E172="Incluido IGV",((F157/(F320*H94))*((F320*F314*F321)/(F320*F314*F321+F320*F315*F322+F320*F316*F323+F220)))+((F158/(F320*H95))*((F320*F315*F322)/(F320*F314*F321+F320*F315*F322+F320*F316*F323+F220)))+((F159/(F320*H96))*((F320*F316*F323)/(F320*F314*F321+F320*F315*F322+F320*F316*F323+F220)))+((F160/(F320*F317))*(F220/(F320*F314*F321+F320*F315*F322+F320*F316*F323+F220))),IF(AND(E172="Sin IGV"),((H157/(F320*H94))*((F320*F314*F321)/(F320*F314*F321+F320*F315*F322+F320*F316*F323+F220)))+((H158/(F320*H95))*((F320*F315*F322)/(F320*F314*F321+F320*F315*F322+F320*F316*F323+F220)))+((H159/(F320*H96))*((F320*F316*F323)/(F320*F314*F321+F320*F315*F322+F320*F316*F323+F220)))+((H160/(F320*F317))*(F220/(F320*F314*F321+F320*F315*F322+F320*F316*F323+F220)))))</f>
        <v>4.2974043059810993</v>
      </c>
      <c r="F459" s="82">
        <f>D459*E459</f>
        <v>4.4778952868323056</v>
      </c>
      <c r="G459" s="473" t="s">
        <v>24</v>
      </c>
      <c r="H459" s="475">
        <f>F459+F460</f>
        <v>4.7194207105611188</v>
      </c>
      <c r="N459" s="54"/>
      <c r="O459" s="54"/>
    </row>
    <row r="460" spans="1:17" x14ac:dyDescent="0.25">
      <c r="A460" s="469" t="s">
        <v>273</v>
      </c>
      <c r="B460" s="469"/>
      <c r="C460" s="11" t="s">
        <v>169</v>
      </c>
      <c r="D460" s="12">
        <f>F311</f>
        <v>0.05</v>
      </c>
      <c r="E460" s="12">
        <f>IF(E172="Incluido IGV",F161,IF(AND(E172="Sin IGV"),H161))</f>
        <v>4.8305084745762716</v>
      </c>
      <c r="F460" s="82">
        <f t="shared" ref="F460" si="12">D460*E460</f>
        <v>0.24152542372881358</v>
      </c>
      <c r="G460" s="474"/>
      <c r="H460" s="476"/>
      <c r="K460" s="83"/>
      <c r="P460" s="285"/>
      <c r="Q460" s="285"/>
    </row>
    <row r="461" spans="1:17" x14ac:dyDescent="0.25">
      <c r="A461" s="470" t="s">
        <v>78</v>
      </c>
      <c r="B461" s="470"/>
      <c r="C461" s="470"/>
      <c r="D461" s="470"/>
      <c r="E461" s="470"/>
      <c r="F461" s="470"/>
      <c r="G461" s="471"/>
      <c r="H461" s="471"/>
      <c r="K461" s="83"/>
    </row>
    <row r="462" spans="1:17" x14ac:dyDescent="0.25">
      <c r="A462" s="477" t="s">
        <v>81</v>
      </c>
      <c r="B462" s="478"/>
      <c r="C462" s="11" t="s">
        <v>82</v>
      </c>
      <c r="D462" s="86">
        <f>E141</f>
        <v>0.03</v>
      </c>
      <c r="E462" s="12">
        <f>H454</f>
        <v>2.0254064667999998</v>
      </c>
      <c r="F462" s="82">
        <f>D462*E462</f>
        <v>6.0762194003999993E-2</v>
      </c>
      <c r="G462" s="243" t="s">
        <v>24</v>
      </c>
      <c r="H462" s="244">
        <f>F462</f>
        <v>6.0762194003999993E-2</v>
      </c>
      <c r="K462" s="83"/>
    </row>
    <row r="463" spans="1:17" x14ac:dyDescent="0.25">
      <c r="A463" s="2"/>
      <c r="B463" s="2"/>
      <c r="C463" s="2"/>
      <c r="D463" s="2"/>
      <c r="E463" s="2"/>
      <c r="F463" s="2"/>
      <c r="G463" s="2"/>
      <c r="H463" s="2"/>
    </row>
    <row r="464" spans="1:17" x14ac:dyDescent="0.25">
      <c r="A464" s="2"/>
      <c r="B464" s="2"/>
      <c r="C464" s="2"/>
      <c r="D464" s="2"/>
      <c r="E464" s="2"/>
      <c r="F464" s="2"/>
      <c r="G464" s="2"/>
      <c r="H464" s="2"/>
    </row>
    <row r="465" spans="1:11" x14ac:dyDescent="0.25">
      <c r="A465" s="2"/>
      <c r="B465" s="2"/>
      <c r="C465" s="2"/>
      <c r="D465" s="2"/>
      <c r="E465" s="2"/>
      <c r="F465" s="2"/>
      <c r="G465" s="2"/>
      <c r="H465" s="2"/>
    </row>
    <row r="466" spans="1:11" x14ac:dyDescent="0.25">
      <c r="A466" s="495" t="s">
        <v>56</v>
      </c>
      <c r="B466" s="495"/>
      <c r="C466" s="239"/>
      <c r="D466" s="440" t="str">
        <f>C381</f>
        <v>LADRILLO HUECO</v>
      </c>
      <c r="E466" s="238" t="s">
        <v>831</v>
      </c>
      <c r="F466" s="441">
        <f>D382</f>
        <v>15</v>
      </c>
      <c r="G466" s="239" t="s">
        <v>832</v>
      </c>
      <c r="H466" s="239"/>
    </row>
    <row r="467" spans="1:11" x14ac:dyDescent="0.25">
      <c r="A467" s="2"/>
      <c r="B467" s="2"/>
      <c r="C467" s="32" t="s">
        <v>57</v>
      </c>
      <c r="D467" s="68">
        <f>E378</f>
        <v>1600</v>
      </c>
      <c r="E467" s="2" t="s">
        <v>763</v>
      </c>
      <c r="F467" s="2"/>
      <c r="G467" s="2"/>
      <c r="H467" s="2"/>
    </row>
    <row r="468" spans="1:11" x14ac:dyDescent="0.25">
      <c r="A468" s="2"/>
      <c r="B468" s="2"/>
      <c r="C468" s="32" t="s">
        <v>58</v>
      </c>
      <c r="D468" s="76" t="s">
        <v>833</v>
      </c>
      <c r="E468" s="2"/>
      <c r="F468" s="77"/>
      <c r="G468" s="77" t="s">
        <v>59</v>
      </c>
      <c r="H468" s="78">
        <f>H471+H476+H479</f>
        <v>2.3631984347310273</v>
      </c>
    </row>
    <row r="469" spans="1:11" x14ac:dyDescent="0.25">
      <c r="A469" s="497"/>
      <c r="B469" s="497"/>
      <c r="C469" s="26" t="s">
        <v>60</v>
      </c>
      <c r="D469" s="26" t="s">
        <v>61</v>
      </c>
      <c r="E469" s="26" t="s">
        <v>62</v>
      </c>
      <c r="F469" s="26" t="s">
        <v>63</v>
      </c>
      <c r="G469" s="497" t="s">
        <v>64</v>
      </c>
      <c r="H469" s="497"/>
      <c r="K469" s="80"/>
    </row>
    <row r="470" spans="1:11" x14ac:dyDescent="0.25">
      <c r="A470" s="470" t="s">
        <v>65</v>
      </c>
      <c r="B470" s="470"/>
      <c r="C470" s="470"/>
      <c r="D470" s="470"/>
      <c r="E470" s="470"/>
      <c r="F470" s="470"/>
      <c r="G470" s="498"/>
      <c r="H470" s="498"/>
    </row>
    <row r="471" spans="1:11" x14ac:dyDescent="0.25">
      <c r="A471" s="469" t="s">
        <v>66</v>
      </c>
      <c r="B471" s="469"/>
      <c r="C471" s="11" t="s">
        <v>67</v>
      </c>
      <c r="D471" s="81">
        <f>G381</f>
        <v>5.0000000000000001E-4</v>
      </c>
      <c r="E471" s="12">
        <f>E412</f>
        <v>26.646464625</v>
      </c>
      <c r="F471" s="82">
        <f>D471*E471</f>
        <v>1.3323232312500001E-2</v>
      </c>
      <c r="G471" s="473" t="s">
        <v>24</v>
      </c>
      <c r="H471" s="475">
        <f>F471+F472+F473+F474</f>
        <v>0.56654118231249995</v>
      </c>
    </row>
    <row r="472" spans="1:11" x14ac:dyDescent="0.25">
      <c r="A472" s="469" t="s">
        <v>68</v>
      </c>
      <c r="B472" s="469"/>
      <c r="C472" s="11" t="s">
        <v>67</v>
      </c>
      <c r="D472" s="81">
        <f>G382</f>
        <v>5.0000000000000001E-3</v>
      </c>
      <c r="E472" s="12">
        <f t="shared" ref="E472:E474" si="13">E413</f>
        <v>24.224058749999998</v>
      </c>
      <c r="F472" s="82">
        <f t="shared" ref="F472:F474" si="14">D472*E472</f>
        <v>0.12112029375</v>
      </c>
      <c r="G472" s="519"/>
      <c r="H472" s="520"/>
    </row>
    <row r="473" spans="1:11" x14ac:dyDescent="0.25">
      <c r="A473" s="469" t="s">
        <v>69</v>
      </c>
      <c r="B473" s="469"/>
      <c r="C473" s="11" t="s">
        <v>67</v>
      </c>
      <c r="D473" s="81">
        <f>G383</f>
        <v>0</v>
      </c>
      <c r="E473" s="12">
        <f t="shared" si="13"/>
        <v>19.121340624999998</v>
      </c>
      <c r="F473" s="82">
        <f t="shared" si="14"/>
        <v>0</v>
      </c>
      <c r="G473" s="519"/>
      <c r="H473" s="520"/>
    </row>
    <row r="474" spans="1:11" x14ac:dyDescent="0.25">
      <c r="A474" s="469" t="s">
        <v>70</v>
      </c>
      <c r="B474" s="469"/>
      <c r="C474" s="11" t="s">
        <v>67</v>
      </c>
      <c r="D474" s="81">
        <f>G384</f>
        <v>2.5000000000000001E-2</v>
      </c>
      <c r="E474" s="12">
        <f t="shared" si="13"/>
        <v>17.283906249999998</v>
      </c>
      <c r="F474" s="82">
        <f t="shared" si="14"/>
        <v>0.43209765624999996</v>
      </c>
      <c r="G474" s="474"/>
      <c r="H474" s="476"/>
    </row>
    <row r="475" spans="1:11" x14ac:dyDescent="0.25">
      <c r="A475" s="470" t="s">
        <v>72</v>
      </c>
      <c r="B475" s="470"/>
      <c r="C475" s="470"/>
      <c r="D475" s="470"/>
      <c r="E475" s="470"/>
      <c r="F475" s="470"/>
      <c r="G475" s="471"/>
      <c r="H475" s="471"/>
    </row>
    <row r="476" spans="1:11" x14ac:dyDescent="0.25">
      <c r="A476" s="809" t="str">
        <f>IF(F27=C25,"LADRLLO HUECO",IF(AND(F27=C26),"-"))</f>
        <v>LADRLLO HUECO</v>
      </c>
      <c r="B476" s="810"/>
      <c r="C476" s="11" t="str">
        <f>IF(F27=C25,"pza",IF(AND(F27=C26),"-"))</f>
        <v>pza</v>
      </c>
      <c r="D476" s="12">
        <f>IF(F27=C25,(1+F251*1),IF(AND(F27=C26),0))</f>
        <v>1.05</v>
      </c>
      <c r="E476" s="12">
        <f>IF(E172="Incluido IGV",F149,IF(AND(E172="Sin IGV"),H149))</f>
        <v>1.6949152542372883</v>
      </c>
      <c r="F476" s="82">
        <f>D476*E476</f>
        <v>1.7796610169491527</v>
      </c>
      <c r="G476" s="473" t="s">
        <v>24</v>
      </c>
      <c r="H476" s="475">
        <f>F476+F477</f>
        <v>1.7796610169491527</v>
      </c>
    </row>
    <row r="477" spans="1:11" x14ac:dyDescent="0.25">
      <c r="A477" s="809" t="str">
        <f>IF(F27=C26,"LADRILLO CASETÓN",IF(AND(F27=C25),"-"))</f>
        <v>-</v>
      </c>
      <c r="B477" s="810"/>
      <c r="C477" s="11" t="str">
        <f>IF(F27=C26,"pza",IF(AND(F27=C25),"-"))</f>
        <v>-</v>
      </c>
      <c r="D477" s="12">
        <f>IF(F27=C26,(1+F251*1),IF(AND(F27=C25),0))</f>
        <v>0</v>
      </c>
      <c r="E477" s="12">
        <f>IF(E172="Incluido IGV",F150,IF(AND(E172="Sin IGV"),H150))</f>
        <v>11.016949152542374</v>
      </c>
      <c r="F477" s="82">
        <f>D477*E477</f>
        <v>0</v>
      </c>
      <c r="G477" s="474"/>
      <c r="H477" s="476"/>
    </row>
    <row r="478" spans="1:11" x14ac:dyDescent="0.25">
      <c r="A478" s="470" t="s">
        <v>78</v>
      </c>
      <c r="B478" s="470"/>
      <c r="C478" s="470"/>
      <c r="D478" s="470"/>
      <c r="E478" s="470"/>
      <c r="F478" s="470"/>
      <c r="G478" s="471"/>
      <c r="H478" s="471"/>
      <c r="K478" s="83"/>
    </row>
    <row r="479" spans="1:11" x14ac:dyDescent="0.25">
      <c r="A479" s="477" t="s">
        <v>81</v>
      </c>
      <c r="B479" s="478"/>
      <c r="C479" s="11" t="s">
        <v>82</v>
      </c>
      <c r="D479" s="86">
        <f>E141</f>
        <v>0.03</v>
      </c>
      <c r="E479" s="12">
        <f>H471</f>
        <v>0.56654118231249995</v>
      </c>
      <c r="F479" s="82">
        <f>D479*E479</f>
        <v>1.6996235469374999E-2</v>
      </c>
      <c r="G479" s="243" t="s">
        <v>24</v>
      </c>
      <c r="H479" s="244">
        <f>F479</f>
        <v>1.6996235469374999E-2</v>
      </c>
      <c r="K479" s="83"/>
    </row>
    <row r="480" spans="1:11" x14ac:dyDescent="0.25">
      <c r="A480" s="2"/>
      <c r="B480" s="2"/>
      <c r="C480" s="2"/>
      <c r="D480" s="2"/>
      <c r="E480" s="2"/>
      <c r="F480" s="2"/>
      <c r="G480" s="2"/>
      <c r="H480" s="2"/>
    </row>
    <row r="481" spans="1:12" x14ac:dyDescent="0.25">
      <c r="A481" s="2"/>
      <c r="B481" s="2"/>
      <c r="C481" s="2"/>
      <c r="D481" s="2"/>
      <c r="E481" s="2"/>
      <c r="F481" s="2"/>
      <c r="G481" s="2"/>
      <c r="H481" s="2"/>
    </row>
    <row r="482" spans="1:12" x14ac:dyDescent="0.25">
      <c r="A482" s="2"/>
      <c r="B482" s="2"/>
      <c r="C482" s="2"/>
      <c r="D482" s="2"/>
      <c r="E482" s="2"/>
      <c r="F482" s="2"/>
      <c r="G482" s="2"/>
      <c r="H482" s="2"/>
    </row>
    <row r="483" spans="1:12" x14ac:dyDescent="0.25">
      <c r="A483" s="442" t="s">
        <v>834</v>
      </c>
      <c r="B483" s="239"/>
      <c r="C483" s="239"/>
      <c r="D483" s="239"/>
      <c r="E483" s="239"/>
      <c r="F483" s="2"/>
      <c r="G483" s="2"/>
      <c r="H483" s="2"/>
    </row>
    <row r="484" spans="1:12" x14ac:dyDescent="0.25">
      <c r="A484" s="2"/>
      <c r="B484" s="2"/>
      <c r="C484" s="2"/>
      <c r="D484" s="2"/>
      <c r="E484" s="2"/>
      <c r="F484" s="2"/>
      <c r="G484" s="2"/>
      <c r="H484" s="2"/>
    </row>
    <row r="485" spans="1:12" ht="15.75" customHeight="1" x14ac:dyDescent="0.25">
      <c r="A485" s="2"/>
      <c r="B485" s="2"/>
      <c r="C485" s="455" t="s">
        <v>171</v>
      </c>
      <c r="D485" s="455"/>
      <c r="E485" s="456" t="str">
        <f>E403</f>
        <v>MAYOR A 50 UIT</v>
      </c>
      <c r="F485" s="456"/>
      <c r="G485" s="31"/>
      <c r="H485" s="31"/>
      <c r="I485" s="31"/>
      <c r="J485" s="154"/>
    </row>
    <row r="486" spans="1:12" ht="15.75" customHeight="1" x14ac:dyDescent="0.25">
      <c r="A486" s="2"/>
      <c r="B486" s="2"/>
      <c r="C486" s="455" t="s">
        <v>172</v>
      </c>
      <c r="D486" s="455"/>
      <c r="E486" s="6" t="str">
        <f>E404</f>
        <v>SIN IGV</v>
      </c>
      <c r="F486" s="25"/>
      <c r="G486" s="2"/>
      <c r="H486" s="2"/>
      <c r="I486" s="2"/>
      <c r="K486" s="154"/>
      <c r="L486" s="154"/>
    </row>
    <row r="487" spans="1:12" x14ac:dyDescent="0.25">
      <c r="A487" s="2"/>
      <c r="B487" s="2"/>
      <c r="C487" s="2"/>
      <c r="D487" s="2"/>
      <c r="E487" s="2"/>
      <c r="F487" s="2"/>
      <c r="G487" s="2"/>
      <c r="H487" s="2"/>
    </row>
    <row r="488" spans="1:12" x14ac:dyDescent="0.25">
      <c r="A488" s="2"/>
      <c r="B488" s="500" t="s">
        <v>46</v>
      </c>
      <c r="C488" s="501"/>
      <c r="D488" s="505" t="s">
        <v>60</v>
      </c>
      <c r="E488" s="504" t="s">
        <v>83</v>
      </c>
      <c r="F488" s="504" t="s">
        <v>84</v>
      </c>
      <c r="G488" s="458" t="s">
        <v>85</v>
      </c>
      <c r="H488" s="459"/>
    </row>
    <row r="489" spans="1:12" x14ac:dyDescent="0.25">
      <c r="A489" s="2"/>
      <c r="B489" s="502"/>
      <c r="C489" s="503"/>
      <c r="D489" s="506"/>
      <c r="E489" s="504"/>
      <c r="F489" s="504"/>
      <c r="G489" s="616"/>
      <c r="H489" s="617"/>
    </row>
    <row r="490" spans="1:12" x14ac:dyDescent="0.25">
      <c r="A490" s="2"/>
      <c r="B490" s="491" t="s">
        <v>835</v>
      </c>
      <c r="C490" s="492"/>
      <c r="D490" s="460" t="s">
        <v>317</v>
      </c>
      <c r="E490" s="463">
        <f>E272</f>
        <v>6.4312500000000012</v>
      </c>
      <c r="F490" s="466">
        <f>H409</f>
        <v>428.93156573837575</v>
      </c>
      <c r="G490" s="485" t="s">
        <v>24</v>
      </c>
      <c r="H490" s="488">
        <f>E490*F490</f>
        <v>2758.5661321549296</v>
      </c>
    </row>
    <row r="491" spans="1:12" x14ac:dyDescent="0.25">
      <c r="A491" s="2"/>
      <c r="B491" s="248" t="s">
        <v>318</v>
      </c>
      <c r="C491" s="249">
        <f>F407</f>
        <v>210</v>
      </c>
      <c r="D491" s="461"/>
      <c r="E491" s="464"/>
      <c r="F491" s="467"/>
      <c r="G491" s="486"/>
      <c r="H491" s="489"/>
    </row>
    <row r="492" spans="1:12" x14ac:dyDescent="0.25">
      <c r="A492" s="2"/>
      <c r="B492" s="493" t="s">
        <v>319</v>
      </c>
      <c r="C492" s="494"/>
      <c r="D492" s="462"/>
      <c r="E492" s="465"/>
      <c r="F492" s="468"/>
      <c r="G492" s="487"/>
      <c r="H492" s="490"/>
    </row>
    <row r="493" spans="1:12" x14ac:dyDescent="0.25">
      <c r="A493" s="2"/>
      <c r="B493" s="479" t="s">
        <v>819</v>
      </c>
      <c r="C493" s="480"/>
      <c r="D493" s="460" t="s">
        <v>314</v>
      </c>
      <c r="E493" s="463">
        <f>F216</f>
        <v>60</v>
      </c>
      <c r="F493" s="466">
        <f>H433</f>
        <v>55.391181374829294</v>
      </c>
      <c r="G493" s="485" t="s">
        <v>24</v>
      </c>
      <c r="H493" s="488">
        <f>E493*F493</f>
        <v>3323.4708824897575</v>
      </c>
    </row>
    <row r="494" spans="1:12" x14ac:dyDescent="0.25">
      <c r="A494" s="2"/>
      <c r="B494" s="481"/>
      <c r="C494" s="482"/>
      <c r="D494" s="461"/>
      <c r="E494" s="464"/>
      <c r="F494" s="467"/>
      <c r="G494" s="486"/>
      <c r="H494" s="489"/>
    </row>
    <row r="495" spans="1:12" x14ac:dyDescent="0.25">
      <c r="A495" s="2"/>
      <c r="B495" s="483"/>
      <c r="C495" s="484"/>
      <c r="D495" s="462"/>
      <c r="E495" s="465"/>
      <c r="F495" s="468"/>
      <c r="G495" s="487"/>
      <c r="H495" s="490"/>
    </row>
    <row r="496" spans="1:12" x14ac:dyDescent="0.25">
      <c r="A496" s="2"/>
      <c r="B496" s="479" t="s">
        <v>836</v>
      </c>
      <c r="C496" s="480"/>
      <c r="D496" s="460" t="s">
        <v>169</v>
      </c>
      <c r="E496" s="463">
        <f>F320*F314*F321+F320*F315*F322+F320*F316*F323+F320*F317*F324</f>
        <v>1250</v>
      </c>
      <c r="F496" s="466">
        <f>H451</f>
        <v>6.8055893713651185</v>
      </c>
      <c r="G496" s="485" t="s">
        <v>24</v>
      </c>
      <c r="H496" s="488">
        <f>E496*F496</f>
        <v>8506.9867142063977</v>
      </c>
    </row>
    <row r="497" spans="1:12" x14ac:dyDescent="0.25">
      <c r="A497" s="2"/>
      <c r="B497" s="481"/>
      <c r="C497" s="482"/>
      <c r="D497" s="461"/>
      <c r="E497" s="464"/>
      <c r="F497" s="467"/>
      <c r="G497" s="486"/>
      <c r="H497" s="489"/>
    </row>
    <row r="498" spans="1:12" x14ac:dyDescent="0.25">
      <c r="A498" s="2"/>
      <c r="B498" s="483"/>
      <c r="C498" s="484"/>
      <c r="D498" s="462"/>
      <c r="E498" s="465"/>
      <c r="F498" s="468"/>
      <c r="G498" s="487"/>
      <c r="H498" s="490"/>
    </row>
    <row r="499" spans="1:12" ht="15" customHeight="1" x14ac:dyDescent="0.25">
      <c r="A499" s="2"/>
      <c r="B499" s="807" t="str">
        <f>D466</f>
        <v>LADRILLO HUECO</v>
      </c>
      <c r="C499" s="808"/>
      <c r="D499" s="460" t="s">
        <v>833</v>
      </c>
      <c r="E499" s="463">
        <f>E252</f>
        <v>612.5</v>
      </c>
      <c r="F499" s="466">
        <f>H468</f>
        <v>2.3631984347310273</v>
      </c>
      <c r="G499" s="485" t="s">
        <v>24</v>
      </c>
      <c r="H499" s="488">
        <f>E499*F499</f>
        <v>1447.4590412727541</v>
      </c>
    </row>
    <row r="500" spans="1:12" x14ac:dyDescent="0.25">
      <c r="A500" s="2"/>
      <c r="B500" s="293" t="s">
        <v>837</v>
      </c>
      <c r="C500" s="294">
        <f>F466</f>
        <v>15</v>
      </c>
      <c r="D500" s="461"/>
      <c r="E500" s="464"/>
      <c r="F500" s="467"/>
      <c r="G500" s="486"/>
      <c r="H500" s="489"/>
    </row>
    <row r="501" spans="1:12" x14ac:dyDescent="0.25">
      <c r="A501" s="2"/>
      <c r="B501" s="481" t="s">
        <v>832</v>
      </c>
      <c r="C501" s="482"/>
      <c r="D501" s="461"/>
      <c r="E501" s="464"/>
      <c r="F501" s="467"/>
      <c r="G501" s="487"/>
      <c r="H501" s="490"/>
    </row>
    <row r="502" spans="1:12" x14ac:dyDescent="0.25">
      <c r="A502" s="2"/>
      <c r="B502" s="805" t="s">
        <v>838</v>
      </c>
      <c r="C502" s="806"/>
      <c r="D502" s="806"/>
      <c r="E502" s="806"/>
      <c r="F502" s="443">
        <f>F215</f>
        <v>70</v>
      </c>
      <c r="G502" s="618" t="s">
        <v>24</v>
      </c>
      <c r="H502" s="620">
        <f>H490+H493+H496+H499</f>
        <v>16036.482770123839</v>
      </c>
    </row>
    <row r="503" spans="1:12" x14ac:dyDescent="0.25">
      <c r="A503" s="2"/>
      <c r="B503" s="87"/>
      <c r="C503" s="88"/>
      <c r="D503" s="89" t="s">
        <v>400</v>
      </c>
      <c r="E503" s="90" t="str">
        <f>E172</f>
        <v>Sin IGV</v>
      </c>
      <c r="F503" s="91"/>
      <c r="G503" s="619"/>
      <c r="H503" s="621"/>
    </row>
    <row r="504" spans="1:12" x14ac:dyDescent="0.25">
      <c r="A504" s="2"/>
      <c r="B504" s="2"/>
      <c r="C504" s="2"/>
      <c r="D504" s="2"/>
      <c r="E504" s="2"/>
      <c r="F504" s="2"/>
      <c r="G504" s="2"/>
      <c r="H504" s="2"/>
    </row>
    <row r="505" spans="1:12" x14ac:dyDescent="0.25">
      <c r="A505" s="2"/>
      <c r="B505" s="2"/>
      <c r="C505" s="2"/>
      <c r="D505" s="2"/>
      <c r="E505" s="2"/>
      <c r="F505" s="2"/>
      <c r="G505" s="2"/>
      <c r="H505" s="2"/>
    </row>
    <row r="506" spans="1:12" x14ac:dyDescent="0.25">
      <c r="A506" s="442" t="s">
        <v>839</v>
      </c>
      <c r="B506" s="239"/>
      <c r="C506" s="239"/>
      <c r="D506" s="239"/>
      <c r="E506" s="239"/>
      <c r="F506" s="239"/>
      <c r="G506" s="2"/>
      <c r="H506" s="2"/>
    </row>
    <row r="507" spans="1:12" x14ac:dyDescent="0.25">
      <c r="A507" s="2"/>
      <c r="B507" s="2"/>
      <c r="C507" s="2"/>
      <c r="D507" s="2"/>
      <c r="E507" s="2"/>
      <c r="F507" s="2"/>
      <c r="G507" s="2"/>
      <c r="H507" s="2"/>
    </row>
    <row r="508" spans="1:12" ht="15.75" customHeight="1" x14ac:dyDescent="0.25">
      <c r="A508" s="2"/>
      <c r="B508" s="2"/>
      <c r="C508" s="455" t="s">
        <v>171</v>
      </c>
      <c r="D508" s="455"/>
      <c r="E508" s="456" t="str">
        <f>E485</f>
        <v>MAYOR A 50 UIT</v>
      </c>
      <c r="F508" s="456"/>
      <c r="G508" s="31"/>
      <c r="H508" s="31"/>
      <c r="I508" s="31"/>
      <c r="J508" s="154"/>
    </row>
    <row r="509" spans="1:12" ht="15.75" customHeight="1" x14ac:dyDescent="0.25">
      <c r="A509" s="2"/>
      <c r="B509" s="2"/>
      <c r="C509" s="455" t="s">
        <v>172</v>
      </c>
      <c r="D509" s="455"/>
      <c r="E509" s="6" t="str">
        <f>E486</f>
        <v>SIN IGV</v>
      </c>
      <c r="F509" s="25"/>
      <c r="G509" s="2"/>
      <c r="H509" s="2"/>
      <c r="I509" s="2"/>
      <c r="K509" s="154"/>
      <c r="L509" s="154"/>
    </row>
    <row r="510" spans="1:12" x14ac:dyDescent="0.25">
      <c r="A510" s="2"/>
      <c r="B510" s="2"/>
      <c r="C510" s="2"/>
      <c r="D510" s="2"/>
      <c r="E510" s="2"/>
      <c r="F510" s="2"/>
      <c r="G510" s="2"/>
      <c r="H510" s="2"/>
    </row>
    <row r="511" spans="1:12" ht="15" customHeight="1" x14ac:dyDescent="0.25">
      <c r="A511" s="2"/>
      <c r="B511" s="2"/>
      <c r="C511" s="448" t="s">
        <v>72</v>
      </c>
      <c r="D511" s="457"/>
      <c r="E511" s="458" t="s">
        <v>87</v>
      </c>
      <c r="F511" s="459"/>
      <c r="G511" s="2"/>
      <c r="H511" s="2"/>
    </row>
    <row r="512" spans="1:12" x14ac:dyDescent="0.25">
      <c r="A512" s="2"/>
      <c r="B512" s="2"/>
      <c r="C512" s="446" t="str">
        <f>IF(F27=C25,"Ladrillo hueco",IF(AND(F27=C26),"ladrillo casetón"))</f>
        <v>Ladrillo hueco</v>
      </c>
      <c r="D512" s="447"/>
      <c r="E512" s="444">
        <f>ROUNDUP(E252,0)</f>
        <v>613</v>
      </c>
      <c r="F512" s="93" t="s">
        <v>538</v>
      </c>
      <c r="G512" s="2"/>
      <c r="H512" s="2"/>
    </row>
    <row r="513" spans="1:8" x14ac:dyDescent="0.25">
      <c r="A513" s="2"/>
      <c r="B513" s="2"/>
      <c r="C513" s="446" t="s">
        <v>39</v>
      </c>
      <c r="D513" s="447"/>
      <c r="E513" s="92">
        <f>F285</f>
        <v>62.576062500000013</v>
      </c>
      <c r="F513" s="93" t="s">
        <v>35</v>
      </c>
      <c r="G513" s="2"/>
      <c r="H513" s="2"/>
    </row>
    <row r="514" spans="1:8" ht="15.75" x14ac:dyDescent="0.25">
      <c r="A514" s="2"/>
      <c r="B514" s="2"/>
      <c r="C514" s="446" t="s">
        <v>236</v>
      </c>
      <c r="D514" s="447"/>
      <c r="E514" s="92">
        <f>F286</f>
        <v>3.3442500000000006</v>
      </c>
      <c r="F514" s="93" t="s">
        <v>88</v>
      </c>
      <c r="G514" s="2"/>
      <c r="H514" s="2"/>
    </row>
    <row r="515" spans="1:8" ht="15.75" x14ac:dyDescent="0.25">
      <c r="A515" s="2"/>
      <c r="B515" s="2"/>
      <c r="C515" s="446" t="s">
        <v>237</v>
      </c>
      <c r="D515" s="447"/>
      <c r="E515" s="92">
        <f>F287</f>
        <v>3.4085625000000008</v>
      </c>
      <c r="F515" s="93" t="s">
        <v>88</v>
      </c>
      <c r="G515" s="2"/>
      <c r="H515" s="2"/>
    </row>
    <row r="516" spans="1:8" ht="15.75" x14ac:dyDescent="0.25">
      <c r="A516" s="2"/>
      <c r="B516" s="2"/>
      <c r="C516" s="446" t="s">
        <v>89</v>
      </c>
      <c r="D516" s="447"/>
      <c r="E516" s="250">
        <f>F288</f>
        <v>1.1962125000000001</v>
      </c>
      <c r="F516" s="95" t="s">
        <v>88</v>
      </c>
      <c r="G516" s="2"/>
      <c r="H516" s="2"/>
    </row>
    <row r="517" spans="1:8" x14ac:dyDescent="0.25">
      <c r="A517" s="2"/>
      <c r="B517" s="2"/>
      <c r="C517" s="446" t="str">
        <f>IF(G81="NO","Gasolina de 84 octanos",IF(AND(G81="SI"),"-"))</f>
        <v>Gasolina de 84 octanos</v>
      </c>
      <c r="D517" s="447"/>
      <c r="E517" s="251">
        <f>IF(G81="NO",E78*E272,IF(AND(G81="SI"),0))</f>
        <v>1.9293750000000003</v>
      </c>
      <c r="F517" s="95" t="str">
        <f>IF(G81="NO","galones",IF(AND(G81="SI"),"-"))</f>
        <v>galones</v>
      </c>
      <c r="G517" s="2"/>
      <c r="H517" s="2"/>
    </row>
    <row r="518" spans="1:8" x14ac:dyDescent="0.25">
      <c r="A518" s="2"/>
      <c r="B518" s="2"/>
      <c r="C518" s="453" t="str">
        <f>IF(G82="NO","Grasa multipropósitos",IF(AND(G82="SI"),"-"))</f>
        <v>Grasa multipropósitos</v>
      </c>
      <c r="D518" s="454"/>
      <c r="E518" s="251">
        <f>IF(G82="NO",E79*E272,IF(AND(G82="SI"),0))</f>
        <v>5.145000000000001E-2</v>
      </c>
      <c r="F518" s="95" t="str">
        <f>IF(G82="NO","kg",IF(AND(G82="SI"),"-"))</f>
        <v>kg</v>
      </c>
      <c r="G518" s="2"/>
      <c r="H518" s="2"/>
    </row>
    <row r="519" spans="1:8" x14ac:dyDescent="0.25">
      <c r="A519" s="2"/>
      <c r="B519" s="2"/>
      <c r="C519" s="252" t="str">
        <f>B157</f>
        <v>Acero de</v>
      </c>
      <c r="D519" s="254" t="str">
        <f>C157</f>
        <v>3/8"</v>
      </c>
      <c r="E519" s="251">
        <f>F332</f>
        <v>61.639736684619983</v>
      </c>
      <c r="F519" s="95" t="str">
        <f>IF(F99="si","varillas",IF(AND(F99="no"),"-"))</f>
        <v>varillas</v>
      </c>
      <c r="G519" s="2"/>
      <c r="H519" s="2"/>
    </row>
    <row r="520" spans="1:8" x14ac:dyDescent="0.25">
      <c r="A520" s="2"/>
      <c r="B520" s="2"/>
      <c r="C520" s="252" t="str">
        <f t="shared" ref="C520:D522" si="15">B158</f>
        <v>Acero de</v>
      </c>
      <c r="D520" s="254" t="str">
        <f t="shared" si="15"/>
        <v>1/2"</v>
      </c>
      <c r="E520" s="251">
        <f>F333</f>
        <v>88.028169014084511</v>
      </c>
      <c r="F520" s="95" t="str">
        <f>IF(F100="si","varillas",IF(AND(F100="no"),"-"))</f>
        <v>varillas</v>
      </c>
      <c r="G520" s="2"/>
      <c r="H520" s="2"/>
    </row>
    <row r="521" spans="1:8" x14ac:dyDescent="0.25">
      <c r="A521" s="2"/>
      <c r="B521" s="2"/>
      <c r="C521" s="252" t="str">
        <f t="shared" si="15"/>
        <v>-</v>
      </c>
      <c r="D521" s="254" t="str">
        <f t="shared" si="15"/>
        <v>-</v>
      </c>
      <c r="E521" s="251">
        <f>F334</f>
        <v>0</v>
      </c>
      <c r="F521" s="95" t="str">
        <f>IF(F101="si","varillas",IF(AND(F101="no"),"-"))</f>
        <v>-</v>
      </c>
      <c r="G521" s="2"/>
      <c r="H521" s="2"/>
    </row>
    <row r="522" spans="1:8" x14ac:dyDescent="0.25">
      <c r="A522" s="2"/>
      <c r="B522" s="2"/>
      <c r="C522" s="252" t="str">
        <f t="shared" si="15"/>
        <v>Acero tempertura</v>
      </c>
      <c r="D522" s="445" t="str">
        <f>IF(F103=C91,"4.77 mm",IF(AND(F103=C92),"6 mm",IF(AND(F103=C93),"8 mm")))</f>
        <v>6 mm</v>
      </c>
      <c r="E522" s="251">
        <f>F335</f>
        <v>104.04040404040404</v>
      </c>
      <c r="F522" s="95" t="s">
        <v>812</v>
      </c>
      <c r="G522" s="2"/>
      <c r="H522" s="2"/>
    </row>
    <row r="523" spans="1:8" x14ac:dyDescent="0.25">
      <c r="A523" s="2"/>
      <c r="B523" s="2"/>
      <c r="C523" s="446" t="s">
        <v>275</v>
      </c>
      <c r="D523" s="447"/>
      <c r="E523" s="251">
        <f>F336+F303</f>
        <v>97.125</v>
      </c>
      <c r="F523" s="95" t="s">
        <v>169</v>
      </c>
      <c r="G523" s="2"/>
      <c r="H523" s="2"/>
    </row>
    <row r="524" spans="1:8" ht="18.75" x14ac:dyDescent="0.3">
      <c r="A524" s="2"/>
      <c r="B524" s="2"/>
      <c r="C524" s="579" t="s">
        <v>239</v>
      </c>
      <c r="D524" s="629"/>
      <c r="E524" s="251">
        <f>F301</f>
        <v>324.45</v>
      </c>
      <c r="F524" s="95" t="s">
        <v>320</v>
      </c>
      <c r="G524" s="2"/>
      <c r="H524" s="2"/>
    </row>
    <row r="525" spans="1:8" x14ac:dyDescent="0.25">
      <c r="A525" s="2"/>
      <c r="B525" s="2"/>
      <c r="C525" s="446" t="s">
        <v>240</v>
      </c>
      <c r="D525" s="447"/>
      <c r="E525" s="251">
        <f>F302</f>
        <v>12.6</v>
      </c>
      <c r="F525" s="95" t="s">
        <v>169</v>
      </c>
      <c r="G525" s="2"/>
      <c r="H525" s="2"/>
    </row>
    <row r="526" spans="1:8" x14ac:dyDescent="0.25">
      <c r="A526" s="2"/>
      <c r="B526" s="2"/>
      <c r="C526" s="448" t="s">
        <v>65</v>
      </c>
      <c r="D526" s="449"/>
      <c r="E526" s="450" t="s">
        <v>87</v>
      </c>
      <c r="F526" s="451"/>
      <c r="G526" s="2"/>
      <c r="H526" s="2"/>
    </row>
    <row r="527" spans="1:8" x14ac:dyDescent="0.25">
      <c r="A527" s="2"/>
      <c r="B527" s="2"/>
      <c r="C527" s="446" t="s">
        <v>11</v>
      </c>
      <c r="D527" s="447"/>
      <c r="E527" s="251">
        <f>D412*E490+D436*E493+D454*E496+D471*E499</f>
        <v>8.5923214285714291</v>
      </c>
      <c r="F527" s="392" t="s">
        <v>67</v>
      </c>
      <c r="G527" s="2"/>
      <c r="H527" s="2"/>
    </row>
    <row r="528" spans="1:8" x14ac:dyDescent="0.25">
      <c r="A528" s="2"/>
      <c r="B528" s="2"/>
      <c r="C528" s="446" t="s">
        <v>12</v>
      </c>
      <c r="D528" s="447"/>
      <c r="E528" s="251">
        <f>D413*E490+D437*E493+D455*E496+D472*E499</f>
        <v>85.923214285714295</v>
      </c>
      <c r="F528" s="392" t="s">
        <v>67</v>
      </c>
      <c r="G528" s="2"/>
      <c r="H528" s="2"/>
    </row>
    <row r="529" spans="1:8" x14ac:dyDescent="0.25">
      <c r="A529" s="2"/>
      <c r="B529" s="2"/>
      <c r="C529" s="446" t="s">
        <v>13</v>
      </c>
      <c r="D529" s="447"/>
      <c r="E529" s="251">
        <f>D414*E490+D438*E493+D456*E496+D473*E499</f>
        <v>82.860714285714295</v>
      </c>
      <c r="F529" s="392" t="s">
        <v>67</v>
      </c>
      <c r="G529" s="2"/>
      <c r="H529" s="2"/>
    </row>
    <row r="530" spans="1:8" x14ac:dyDescent="0.25">
      <c r="A530" s="2"/>
      <c r="B530" s="2"/>
      <c r="C530" s="446" t="s">
        <v>14</v>
      </c>
      <c r="D530" s="447"/>
      <c r="E530" s="251">
        <f>D415*E490+D439*E493+D457*E496+D474*E499</f>
        <v>106.75535714285715</v>
      </c>
      <c r="F530" s="392" t="s">
        <v>67</v>
      </c>
      <c r="G530" s="2"/>
      <c r="H530" s="2"/>
    </row>
    <row r="531" spans="1:8" x14ac:dyDescent="0.25">
      <c r="A531" s="2"/>
      <c r="B531" s="2"/>
      <c r="C531" s="446" t="s">
        <v>840</v>
      </c>
      <c r="D531" s="447"/>
      <c r="E531" s="251">
        <f>D416*E490</f>
        <v>4.2875000000000005</v>
      </c>
      <c r="F531" s="392" t="s">
        <v>67</v>
      </c>
      <c r="G531" s="2"/>
      <c r="H531" s="2"/>
    </row>
    <row r="532" spans="1:8" x14ac:dyDescent="0.25">
      <c r="A532" s="2"/>
      <c r="B532" s="2"/>
      <c r="C532" s="448" t="s">
        <v>277</v>
      </c>
      <c r="D532" s="449"/>
      <c r="E532" s="450" t="s">
        <v>87</v>
      </c>
      <c r="F532" s="451"/>
      <c r="G532" s="2"/>
      <c r="H532" s="2"/>
    </row>
    <row r="533" spans="1:8" x14ac:dyDescent="0.25">
      <c r="A533" s="2"/>
      <c r="B533" s="2"/>
      <c r="C533" s="452" t="s">
        <v>241</v>
      </c>
      <c r="D533" s="534"/>
      <c r="E533" s="251">
        <f>D425*E490</f>
        <v>4.2875000000000005</v>
      </c>
      <c r="F533" s="392" t="s">
        <v>80</v>
      </c>
      <c r="G533" s="2"/>
      <c r="H533" s="2"/>
    </row>
    <row r="534" spans="1:8" x14ac:dyDescent="0.25">
      <c r="A534" s="2"/>
      <c r="B534" s="2"/>
      <c r="C534" s="452" t="s">
        <v>299</v>
      </c>
      <c r="D534" s="452"/>
      <c r="E534" s="251">
        <f>D426*E490</f>
        <v>4.2875000000000005</v>
      </c>
      <c r="F534" s="392" t="s">
        <v>80</v>
      </c>
      <c r="G534" s="2"/>
      <c r="H534" s="2"/>
    </row>
    <row r="535" spans="1:8" x14ac:dyDescent="0.25">
      <c r="A535" s="2"/>
      <c r="B535" s="2"/>
      <c r="C535" s="2"/>
      <c r="D535" s="2"/>
      <c r="E535" s="2"/>
      <c r="F535" s="2"/>
      <c r="G535" s="2"/>
      <c r="H535" s="2"/>
    </row>
  </sheetData>
  <mergeCells count="332">
    <mergeCell ref="B33:B36"/>
    <mergeCell ref="D43:F43"/>
    <mergeCell ref="G43:G44"/>
    <mergeCell ref="B46:B50"/>
    <mergeCell ref="C59:H59"/>
    <mergeCell ref="C60:C61"/>
    <mergeCell ref="D60:D61"/>
    <mergeCell ref="E60:H60"/>
    <mergeCell ref="B1:G2"/>
    <mergeCell ref="A15:C15"/>
    <mergeCell ref="G22:H22"/>
    <mergeCell ref="H26:H28"/>
    <mergeCell ref="F27:G27"/>
    <mergeCell ref="D30:F30"/>
    <mergeCell ref="G30:G31"/>
    <mergeCell ref="B94:B98"/>
    <mergeCell ref="G99:H101"/>
    <mergeCell ref="G103:H103"/>
    <mergeCell ref="H105:H107"/>
    <mergeCell ref="H110:H112"/>
    <mergeCell ref="B117:G117"/>
    <mergeCell ref="B65:B69"/>
    <mergeCell ref="G69:H69"/>
    <mergeCell ref="G78:H79"/>
    <mergeCell ref="H81:I82"/>
    <mergeCell ref="C88:H88"/>
    <mergeCell ref="C89:C90"/>
    <mergeCell ref="D89:E89"/>
    <mergeCell ref="F89:H89"/>
    <mergeCell ref="A118:A119"/>
    <mergeCell ref="B118:C119"/>
    <mergeCell ref="D118:H118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G124:G125"/>
    <mergeCell ref="H124:H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A124:A125"/>
    <mergeCell ref="B124:B125"/>
    <mergeCell ref="C124:C125"/>
    <mergeCell ref="D124:D125"/>
    <mergeCell ref="E124:E125"/>
    <mergeCell ref="F124:F125"/>
    <mergeCell ref="G128:G129"/>
    <mergeCell ref="H128:H129"/>
    <mergeCell ref="H135:H138"/>
    <mergeCell ref="G141:H141"/>
    <mergeCell ref="D144:G144"/>
    <mergeCell ref="B148:C148"/>
    <mergeCell ref="E148:F148"/>
    <mergeCell ref="G148:H148"/>
    <mergeCell ref="A128:A129"/>
    <mergeCell ref="B128:B129"/>
    <mergeCell ref="C128:C129"/>
    <mergeCell ref="D128:D129"/>
    <mergeCell ref="E128:E129"/>
    <mergeCell ref="F128:F129"/>
    <mergeCell ref="B155:C155"/>
    <mergeCell ref="B156:C156"/>
    <mergeCell ref="B161:C161"/>
    <mergeCell ref="B162:C162"/>
    <mergeCell ref="B163:C163"/>
    <mergeCell ref="B167:C167"/>
    <mergeCell ref="B149:C149"/>
    <mergeCell ref="B150:C150"/>
    <mergeCell ref="B151:C151"/>
    <mergeCell ref="B152:C152"/>
    <mergeCell ref="B153:C153"/>
    <mergeCell ref="B154:C154"/>
    <mergeCell ref="B178:G178"/>
    <mergeCell ref="B179:G179"/>
    <mergeCell ref="B180:D180"/>
    <mergeCell ref="B181:D181"/>
    <mergeCell ref="B182:D182"/>
    <mergeCell ref="B186:C186"/>
    <mergeCell ref="E167:F167"/>
    <mergeCell ref="G167:H167"/>
    <mergeCell ref="B168:C168"/>
    <mergeCell ref="B169:C169"/>
    <mergeCell ref="B172:D172"/>
    <mergeCell ref="F172:G173"/>
    <mergeCell ref="B194:G194"/>
    <mergeCell ref="B200:D200"/>
    <mergeCell ref="B201:D201"/>
    <mergeCell ref="B202:G202"/>
    <mergeCell ref="B206:C206"/>
    <mergeCell ref="E206:F207"/>
    <mergeCell ref="B187:C187"/>
    <mergeCell ref="B188:D188"/>
    <mergeCell ref="B189:D189"/>
    <mergeCell ref="B190:D190"/>
    <mergeCell ref="B191:D191"/>
    <mergeCell ref="B192:D192"/>
    <mergeCell ref="B250:G250"/>
    <mergeCell ref="C262:D262"/>
    <mergeCell ref="C268:D268"/>
    <mergeCell ref="B270:G270"/>
    <mergeCell ref="C272:D272"/>
    <mergeCell ref="C276:G276"/>
    <mergeCell ref="G212:H214"/>
    <mergeCell ref="H215:H220"/>
    <mergeCell ref="B216:B219"/>
    <mergeCell ref="A224:C224"/>
    <mergeCell ref="C237:D237"/>
    <mergeCell ref="E237:F237"/>
    <mergeCell ref="C314:D314"/>
    <mergeCell ref="C315:D315"/>
    <mergeCell ref="C316:D316"/>
    <mergeCell ref="B319:H319"/>
    <mergeCell ref="C321:D321"/>
    <mergeCell ref="C322:D322"/>
    <mergeCell ref="B283:H283"/>
    <mergeCell ref="C294:G294"/>
    <mergeCell ref="B299:H299"/>
    <mergeCell ref="C309:G309"/>
    <mergeCell ref="C311:D311"/>
    <mergeCell ref="C313:G313"/>
    <mergeCell ref="C336:D336"/>
    <mergeCell ref="A340:C340"/>
    <mergeCell ref="D344:E344"/>
    <mergeCell ref="C347:D347"/>
    <mergeCell ref="C348:D349"/>
    <mergeCell ref="E348:E349"/>
    <mergeCell ref="C323:D323"/>
    <mergeCell ref="C325:D325"/>
    <mergeCell ref="B328:H328"/>
    <mergeCell ref="C332:D332"/>
    <mergeCell ref="C333:D333"/>
    <mergeCell ref="C334:D334"/>
    <mergeCell ref="C359:D360"/>
    <mergeCell ref="E359:E360"/>
    <mergeCell ref="F359:F360"/>
    <mergeCell ref="G359:G360"/>
    <mergeCell ref="C361:D364"/>
    <mergeCell ref="C368:D368"/>
    <mergeCell ref="F348:F349"/>
    <mergeCell ref="G348:G349"/>
    <mergeCell ref="C350:D351"/>
    <mergeCell ref="C353:D353"/>
    <mergeCell ref="C354:D354"/>
    <mergeCell ref="C358:D358"/>
    <mergeCell ref="C379:D380"/>
    <mergeCell ref="E379:E380"/>
    <mergeCell ref="F379:F380"/>
    <mergeCell ref="G379:G380"/>
    <mergeCell ref="C381:D381"/>
    <mergeCell ref="C383:D383"/>
    <mergeCell ref="C369:D370"/>
    <mergeCell ref="E369:E370"/>
    <mergeCell ref="F369:F370"/>
    <mergeCell ref="G369:G370"/>
    <mergeCell ref="C371:D374"/>
    <mergeCell ref="C378:D378"/>
    <mergeCell ref="C393:D394"/>
    <mergeCell ref="E393:E394"/>
    <mergeCell ref="F393:F394"/>
    <mergeCell ref="G393:G394"/>
    <mergeCell ref="E395:E396"/>
    <mergeCell ref="F395:F396"/>
    <mergeCell ref="G395:G396"/>
    <mergeCell ref="C396:D396"/>
    <mergeCell ref="C384:D384"/>
    <mergeCell ref="C390:D390"/>
    <mergeCell ref="C391:D392"/>
    <mergeCell ref="E391:E392"/>
    <mergeCell ref="F391:F392"/>
    <mergeCell ref="G391:G392"/>
    <mergeCell ref="A411:H411"/>
    <mergeCell ref="A412:B412"/>
    <mergeCell ref="G412:G416"/>
    <mergeCell ref="H412:H416"/>
    <mergeCell ref="A413:B413"/>
    <mergeCell ref="A414:B414"/>
    <mergeCell ref="A415:B415"/>
    <mergeCell ref="A416:B416"/>
    <mergeCell ref="C403:D403"/>
    <mergeCell ref="E403:F403"/>
    <mergeCell ref="C404:D404"/>
    <mergeCell ref="A407:B407"/>
    <mergeCell ref="A410:B410"/>
    <mergeCell ref="G410:H410"/>
    <mergeCell ref="A424:H424"/>
    <mergeCell ref="A425:B425"/>
    <mergeCell ref="G425:G427"/>
    <mergeCell ref="H425:H427"/>
    <mergeCell ref="A426:B426"/>
    <mergeCell ref="A427:B427"/>
    <mergeCell ref="A417:H417"/>
    <mergeCell ref="A418:B418"/>
    <mergeCell ref="G418:G423"/>
    <mergeCell ref="H418:H423"/>
    <mergeCell ref="A419:B419"/>
    <mergeCell ref="A420:B420"/>
    <mergeCell ref="A421:B421"/>
    <mergeCell ref="A422:B422"/>
    <mergeCell ref="A423:B423"/>
    <mergeCell ref="A431:B431"/>
    <mergeCell ref="A434:B434"/>
    <mergeCell ref="G434:H434"/>
    <mergeCell ref="A435:H435"/>
    <mergeCell ref="A436:B436"/>
    <mergeCell ref="G436:G439"/>
    <mergeCell ref="H436:H439"/>
    <mergeCell ref="A437:B437"/>
    <mergeCell ref="A438:B438"/>
    <mergeCell ref="A439:B439"/>
    <mergeCell ref="A444:H444"/>
    <mergeCell ref="A445:B445"/>
    <mergeCell ref="A449:B449"/>
    <mergeCell ref="A452:B452"/>
    <mergeCell ref="G452:H452"/>
    <mergeCell ref="A453:H453"/>
    <mergeCell ref="A440:H440"/>
    <mergeCell ref="A441:B441"/>
    <mergeCell ref="G441:G443"/>
    <mergeCell ref="H441:H443"/>
    <mergeCell ref="A442:B442"/>
    <mergeCell ref="A443:B443"/>
    <mergeCell ref="A458:H458"/>
    <mergeCell ref="A459:B459"/>
    <mergeCell ref="G459:G460"/>
    <mergeCell ref="H459:H460"/>
    <mergeCell ref="A460:B460"/>
    <mergeCell ref="A461:H461"/>
    <mergeCell ref="A454:B454"/>
    <mergeCell ref="G454:G457"/>
    <mergeCell ref="H454:H457"/>
    <mergeCell ref="A455:B455"/>
    <mergeCell ref="A456:B456"/>
    <mergeCell ref="A457:B457"/>
    <mergeCell ref="A474:B474"/>
    <mergeCell ref="A475:H475"/>
    <mergeCell ref="A476:B476"/>
    <mergeCell ref="G476:G477"/>
    <mergeCell ref="H476:H477"/>
    <mergeCell ref="A477:B477"/>
    <mergeCell ref="A462:B462"/>
    <mergeCell ref="A466:B466"/>
    <mergeCell ref="A469:B469"/>
    <mergeCell ref="G469:H469"/>
    <mergeCell ref="A470:H470"/>
    <mergeCell ref="A471:B471"/>
    <mergeCell ref="G471:G474"/>
    <mergeCell ref="H471:H474"/>
    <mergeCell ref="A472:B472"/>
    <mergeCell ref="A473:B473"/>
    <mergeCell ref="B490:C490"/>
    <mergeCell ref="D490:D492"/>
    <mergeCell ref="E490:E492"/>
    <mergeCell ref="F490:F492"/>
    <mergeCell ref="G490:G492"/>
    <mergeCell ref="H490:H492"/>
    <mergeCell ref="B492:C492"/>
    <mergeCell ref="A478:H478"/>
    <mergeCell ref="A479:B479"/>
    <mergeCell ref="C485:D485"/>
    <mergeCell ref="E485:F485"/>
    <mergeCell ref="C486:D486"/>
    <mergeCell ref="B488:C489"/>
    <mergeCell ref="D488:D489"/>
    <mergeCell ref="E488:E489"/>
    <mergeCell ref="F488:F489"/>
    <mergeCell ref="G488:H489"/>
    <mergeCell ref="B496:C498"/>
    <mergeCell ref="D496:D498"/>
    <mergeCell ref="E496:E498"/>
    <mergeCell ref="F496:F498"/>
    <mergeCell ref="G496:G498"/>
    <mergeCell ref="H496:H498"/>
    <mergeCell ref="B493:C495"/>
    <mergeCell ref="D493:D495"/>
    <mergeCell ref="E493:E495"/>
    <mergeCell ref="F493:F495"/>
    <mergeCell ref="G493:G495"/>
    <mergeCell ref="H493:H495"/>
    <mergeCell ref="B502:E502"/>
    <mergeCell ref="G502:G503"/>
    <mergeCell ref="H502:H503"/>
    <mergeCell ref="C508:D508"/>
    <mergeCell ref="E508:F508"/>
    <mergeCell ref="C509:D509"/>
    <mergeCell ref="B499:C499"/>
    <mergeCell ref="D499:D501"/>
    <mergeCell ref="E499:E501"/>
    <mergeCell ref="F499:F501"/>
    <mergeCell ref="G499:G501"/>
    <mergeCell ref="H499:H501"/>
    <mergeCell ref="B501:C501"/>
    <mergeCell ref="C516:D516"/>
    <mergeCell ref="C517:D517"/>
    <mergeCell ref="C518:D518"/>
    <mergeCell ref="C523:D523"/>
    <mergeCell ref="C524:D524"/>
    <mergeCell ref="C525:D525"/>
    <mergeCell ref="C511:D511"/>
    <mergeCell ref="E511:F511"/>
    <mergeCell ref="C512:D512"/>
    <mergeCell ref="C513:D513"/>
    <mergeCell ref="C514:D514"/>
    <mergeCell ref="C515:D515"/>
    <mergeCell ref="C531:D531"/>
    <mergeCell ref="C532:D532"/>
    <mergeCell ref="E532:F532"/>
    <mergeCell ref="C533:D533"/>
    <mergeCell ref="C534:D534"/>
    <mergeCell ref="C526:D526"/>
    <mergeCell ref="E526:F526"/>
    <mergeCell ref="C527:D527"/>
    <mergeCell ref="C528:D528"/>
    <mergeCell ref="C529:D529"/>
    <mergeCell ref="C530:D530"/>
  </mergeCells>
  <dataValidations count="10">
    <dataValidation type="list" allowBlank="1" showInputMessage="1" showErrorMessage="1" sqref="D206" xr:uid="{00000000-0002-0000-0700-000000000000}">
      <formula1>$A$204:$A$205</formula1>
    </dataValidation>
    <dataValidation type="list" allowBlank="1" showInputMessage="1" showErrorMessage="1" sqref="E172" xr:uid="{00000000-0002-0000-0700-000001000000}">
      <formula1>$A$170:$A$171</formula1>
    </dataValidation>
    <dataValidation type="list" allowBlank="1" showInputMessage="1" showErrorMessage="1" sqref="G83" xr:uid="{00000000-0002-0000-0700-000002000000}">
      <formula1>$B$48:$B$49</formula1>
    </dataValidation>
    <dataValidation type="list" allowBlank="1" showInputMessage="1" showErrorMessage="1" sqref="G81:G82" xr:uid="{00000000-0002-0000-0700-000003000000}">
      <formula1>$B$80:$B$81</formula1>
    </dataValidation>
    <dataValidation type="list" allowBlank="1" showInputMessage="1" showErrorMessage="1" sqref="F99:F101" xr:uid="{00000000-0002-0000-0700-000004000000}">
      <formula1>$C$99:$C$100</formula1>
    </dataValidation>
    <dataValidation type="list" allowBlank="1" showInputMessage="1" showErrorMessage="1" sqref="F136:F137" xr:uid="{00000000-0002-0000-0700-000005000000}">
      <formula1>$B$136:$B$138</formula1>
    </dataValidation>
    <dataValidation type="list" allowBlank="1" showInputMessage="1" showErrorMessage="1" sqref="F103" xr:uid="{00000000-0002-0000-0700-000006000000}">
      <formula1>$C$91:$C$93</formula1>
    </dataValidation>
    <dataValidation type="list" allowBlank="1" showInputMessage="1" showErrorMessage="1" sqref="E69" xr:uid="{00000000-0002-0000-0700-000007000000}">
      <formula1>$C$62:$C$66</formula1>
    </dataValidation>
    <dataValidation type="list" allowBlank="1" showInputMessage="1" showErrorMessage="1" sqref="D35 E22" xr:uid="{00000000-0002-0000-0700-000008000000}">
      <formula1>$G$32:$G$34</formula1>
    </dataValidation>
    <dataValidation type="list" allowBlank="1" showInputMessage="1" showErrorMessage="1" sqref="F27:G27" xr:uid="{00000000-0002-0000-0700-000009000000}">
      <formula1>$C$25:$C$26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ZAPATAS Y SOLADOS</vt:lpstr>
      <vt:lpstr>CIMIENTOS CORRIDOS</vt:lpstr>
      <vt:lpstr>SOBRECIMIENTO</vt:lpstr>
      <vt:lpstr>MUROS DE LADRILLOS</vt:lpstr>
      <vt:lpstr>FALSOPISO</vt:lpstr>
      <vt:lpstr>COLUMNAS</vt:lpstr>
      <vt:lpstr>VIGAS</vt:lpstr>
      <vt:lpstr>LOSAS ALIGERADAS</vt:lpstr>
      <vt:lpstr>'CIMIENTOS CORRIDOS'!Área_de_impresión</vt:lpstr>
      <vt:lpstr>'ZAPATAS Y SOLADOS'!Área_de_impresión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</dc:creator>
  <cp:lastModifiedBy>YELSIN SEBASTIAN</cp:lastModifiedBy>
  <cp:lastPrinted>2021-10-26T07:08:20Z</cp:lastPrinted>
  <dcterms:created xsi:type="dcterms:W3CDTF">2021-10-12T18:08:28Z</dcterms:created>
  <dcterms:modified xsi:type="dcterms:W3CDTF">2025-02-19T01:13:53Z</dcterms:modified>
</cp:coreProperties>
</file>