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ZO\Desktop\Cursos\2022-2\Diseño de Puentes\Semana 13\T2 PUENTES\"/>
    </mc:Choice>
  </mc:AlternateContent>
  <xr:revisionPtr revIDLastSave="0" documentId="13_ncr:1_{4A381C1D-AABB-41C9-BFC0-E9089F0875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SEÑO DE ESTRIB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1" l="1"/>
  <c r="H23" i="1" s="1"/>
  <c r="L23" i="1" s="1"/>
  <c r="N17" i="1"/>
  <c r="H22" i="1" s="1"/>
  <c r="L22" i="1" s="1"/>
  <c r="L24" i="1" l="1"/>
  <c r="K115" i="1" l="1"/>
  <c r="K29" i="1" l="1"/>
  <c r="K28" i="1"/>
  <c r="K27" i="1"/>
  <c r="K185" i="1" l="1"/>
  <c r="N47" i="1"/>
  <c r="F119" i="1"/>
  <c r="F524" i="1" l="1"/>
  <c r="U542" i="1" l="1"/>
  <c r="U541" i="1"/>
  <c r="U540" i="1"/>
  <c r="U539" i="1"/>
  <c r="D102" i="1"/>
  <c r="I274" i="1" s="1"/>
  <c r="I497" i="1"/>
  <c r="P105" i="1" l="1"/>
  <c r="F468" i="1"/>
  <c r="F481" i="1" s="1"/>
  <c r="H468" i="1"/>
  <c r="H481" i="1" s="1"/>
  <c r="H466" i="1"/>
  <c r="H479" i="1" s="1"/>
  <c r="F466" i="1"/>
  <c r="F479" i="1" s="1"/>
  <c r="D466" i="1"/>
  <c r="D479" i="1" s="1"/>
  <c r="D468" i="1"/>
  <c r="D481" i="1" s="1"/>
  <c r="H464" i="1"/>
  <c r="H477" i="1" s="1"/>
  <c r="F464" i="1"/>
  <c r="F477" i="1" s="1"/>
  <c r="D464" i="1"/>
  <c r="D477" i="1" s="1"/>
  <c r="H462" i="1"/>
  <c r="H475" i="1" s="1"/>
  <c r="F462" i="1"/>
  <c r="F475" i="1" s="1"/>
  <c r="D462" i="1"/>
  <c r="H441" i="1"/>
  <c r="H454" i="1" s="1"/>
  <c r="F441" i="1"/>
  <c r="F454" i="1" s="1"/>
  <c r="D441" i="1"/>
  <c r="D454" i="1" s="1"/>
  <c r="J441" i="1"/>
  <c r="J454" i="1" s="1"/>
  <c r="L441" i="1"/>
  <c r="L454" i="1" s="1"/>
  <c r="N441" i="1"/>
  <c r="P441" i="1"/>
  <c r="P454" i="1" s="1"/>
  <c r="P439" i="1"/>
  <c r="P452" i="1" s="1"/>
  <c r="N439" i="1"/>
  <c r="N452" i="1" s="1"/>
  <c r="L439" i="1"/>
  <c r="L452" i="1" s="1"/>
  <c r="J439" i="1"/>
  <c r="J452" i="1" s="1"/>
  <c r="H439" i="1"/>
  <c r="H452" i="1" s="1"/>
  <c r="F439" i="1"/>
  <c r="F452" i="1" s="1"/>
  <c r="D439" i="1"/>
  <c r="D452" i="1" s="1"/>
  <c r="P437" i="1"/>
  <c r="P450" i="1" s="1"/>
  <c r="N437" i="1"/>
  <c r="N450" i="1" s="1"/>
  <c r="L437" i="1"/>
  <c r="L450" i="1" s="1"/>
  <c r="J437" i="1"/>
  <c r="J450" i="1" s="1"/>
  <c r="H437" i="1"/>
  <c r="H450" i="1" s="1"/>
  <c r="F437" i="1"/>
  <c r="F450" i="1" s="1"/>
  <c r="D437" i="1"/>
  <c r="D450" i="1" s="1"/>
  <c r="P435" i="1"/>
  <c r="P448" i="1" s="1"/>
  <c r="N435" i="1"/>
  <c r="N448" i="1" s="1"/>
  <c r="L435" i="1"/>
  <c r="L448" i="1" s="1"/>
  <c r="J435" i="1"/>
  <c r="J448" i="1" s="1"/>
  <c r="H435" i="1"/>
  <c r="H448" i="1" s="1"/>
  <c r="F435" i="1"/>
  <c r="F448" i="1" s="1"/>
  <c r="D435" i="1"/>
  <c r="D448" i="1" s="1"/>
  <c r="U424" i="1"/>
  <c r="U423" i="1"/>
  <c r="U422" i="1"/>
  <c r="U421" i="1"/>
  <c r="I386" i="1"/>
  <c r="I272" i="1" l="1"/>
  <c r="I271" i="1"/>
  <c r="I270" i="1"/>
  <c r="D475" i="1"/>
  <c r="N454" i="1"/>
  <c r="F108" i="1"/>
  <c r="F43" i="1"/>
  <c r="E322" i="1"/>
  <c r="E335" i="1" s="1"/>
  <c r="G322" i="1"/>
  <c r="G335" i="1" s="1"/>
  <c r="I322" i="1"/>
  <c r="I335" i="1" s="1"/>
  <c r="K322" i="1"/>
  <c r="K335" i="1" s="1"/>
  <c r="M322" i="1"/>
  <c r="M335" i="1" s="1"/>
  <c r="O322" i="1"/>
  <c r="O335" i="1" s="1"/>
  <c r="E324" i="1"/>
  <c r="E337" i="1" s="1"/>
  <c r="G324" i="1"/>
  <c r="G337" i="1" s="1"/>
  <c r="I324" i="1"/>
  <c r="I337" i="1" s="1"/>
  <c r="K324" i="1"/>
  <c r="K337" i="1" s="1"/>
  <c r="M324" i="1"/>
  <c r="M337" i="1" s="1"/>
  <c r="O324" i="1"/>
  <c r="O337" i="1" s="1"/>
  <c r="E326" i="1"/>
  <c r="E339" i="1" s="1"/>
  <c r="G326" i="1"/>
  <c r="G339" i="1" s="1"/>
  <c r="I326" i="1"/>
  <c r="I339" i="1" s="1"/>
  <c r="K326" i="1"/>
  <c r="K339" i="1" s="1"/>
  <c r="M326" i="1"/>
  <c r="M339" i="1" s="1"/>
  <c r="O326" i="1"/>
  <c r="O339" i="1" s="1"/>
  <c r="O320" i="1"/>
  <c r="O333" i="1" s="1"/>
  <c r="M320" i="1"/>
  <c r="M333" i="1" s="1"/>
  <c r="K320" i="1"/>
  <c r="K333" i="1" s="1"/>
  <c r="I320" i="1"/>
  <c r="I333" i="1" s="1"/>
  <c r="G320" i="1"/>
  <c r="G333" i="1" s="1"/>
  <c r="E320" i="1"/>
  <c r="E333" i="1" s="1"/>
  <c r="K297" i="1"/>
  <c r="K310" i="1" s="1"/>
  <c r="W299" i="1"/>
  <c r="W312" i="1" s="1"/>
  <c r="U299" i="1"/>
  <c r="U312" i="1" s="1"/>
  <c r="S299" i="1"/>
  <c r="S312" i="1" s="1"/>
  <c r="Q299" i="1"/>
  <c r="Q312" i="1" s="1"/>
  <c r="O299" i="1"/>
  <c r="O312" i="1" s="1"/>
  <c r="M299" i="1"/>
  <c r="M312" i="1" s="1"/>
  <c r="K299" i="1"/>
  <c r="K312" i="1" s="1"/>
  <c r="I299" i="1"/>
  <c r="I312" i="1" s="1"/>
  <c r="G299" i="1"/>
  <c r="G312" i="1" s="1"/>
  <c r="E299" i="1"/>
  <c r="E312" i="1" s="1"/>
  <c r="W297" i="1"/>
  <c r="W310" i="1" s="1"/>
  <c r="U297" i="1"/>
  <c r="U310" i="1" s="1"/>
  <c r="S297" i="1"/>
  <c r="S310" i="1" s="1"/>
  <c r="Q297" i="1"/>
  <c r="Q310" i="1" s="1"/>
  <c r="O297" i="1"/>
  <c r="O310" i="1" s="1"/>
  <c r="M297" i="1"/>
  <c r="M310" i="1" s="1"/>
  <c r="I297" i="1"/>
  <c r="I310" i="1" s="1"/>
  <c r="G297" i="1"/>
  <c r="G310" i="1" s="1"/>
  <c r="E297" i="1"/>
  <c r="E310" i="1" s="1"/>
  <c r="W295" i="1"/>
  <c r="W308" i="1" s="1"/>
  <c r="U295" i="1"/>
  <c r="U308" i="1" s="1"/>
  <c r="S295" i="1"/>
  <c r="S308" i="1" s="1"/>
  <c r="Q295" i="1"/>
  <c r="Q308" i="1" s="1"/>
  <c r="O295" i="1"/>
  <c r="O308" i="1" s="1"/>
  <c r="M295" i="1"/>
  <c r="M308" i="1" s="1"/>
  <c r="K295" i="1"/>
  <c r="K308" i="1" s="1"/>
  <c r="I295" i="1"/>
  <c r="I308" i="1" s="1"/>
  <c r="G295" i="1"/>
  <c r="G308" i="1" s="1"/>
  <c r="E295" i="1"/>
  <c r="E308" i="1" s="1"/>
  <c r="W293" i="1"/>
  <c r="W306" i="1" s="1"/>
  <c r="U293" i="1"/>
  <c r="U306" i="1" s="1"/>
  <c r="S293" i="1"/>
  <c r="S306" i="1" s="1"/>
  <c r="Q293" i="1"/>
  <c r="Q306" i="1" s="1"/>
  <c r="O293" i="1"/>
  <c r="O306" i="1" s="1"/>
  <c r="E293" i="1"/>
  <c r="E306" i="1" s="1"/>
  <c r="M293" i="1"/>
  <c r="M306" i="1" s="1"/>
  <c r="K293" i="1"/>
  <c r="K306" i="1" s="1"/>
  <c r="I275" i="1" l="1"/>
  <c r="I273" i="1"/>
  <c r="I293" i="1"/>
  <c r="I306" i="1" s="1"/>
  <c r="G293" i="1"/>
  <c r="G306" i="1" s="1"/>
  <c r="G266" i="1"/>
  <c r="G275" i="1" s="1"/>
  <c r="O319" i="1" s="1"/>
  <c r="O323" i="1" s="1"/>
  <c r="E259" i="1"/>
  <c r="G273" i="1" s="1"/>
  <c r="D248" i="1"/>
  <c r="J227" i="1"/>
  <c r="N127" i="1"/>
  <c r="D216" i="1"/>
  <c r="L197" i="1"/>
  <c r="F197" i="1"/>
  <c r="O327" i="1" l="1"/>
  <c r="O321" i="1"/>
  <c r="O325" i="1"/>
  <c r="K273" i="1"/>
  <c r="K332" i="1" s="1"/>
  <c r="K319" i="1"/>
  <c r="K275" i="1"/>
  <c r="O332" i="1" s="1"/>
  <c r="O334" i="1" l="1"/>
  <c r="O338" i="1"/>
  <c r="O340" i="1"/>
  <c r="O336" i="1"/>
  <c r="K334" i="1"/>
  <c r="K338" i="1"/>
  <c r="K336" i="1"/>
  <c r="K340" i="1"/>
  <c r="K325" i="1"/>
  <c r="K327" i="1"/>
  <c r="K323" i="1"/>
  <c r="K321" i="1"/>
  <c r="F177" i="1"/>
  <c r="F178" i="1" s="1"/>
  <c r="N49" i="1"/>
  <c r="N48" i="1"/>
  <c r="I206" i="1" l="1"/>
  <c r="I227" i="1"/>
  <c r="N103" i="1"/>
  <c r="E227" i="1"/>
  <c r="I158" i="1" l="1"/>
  <c r="N126" i="1"/>
  <c r="E146" i="1" s="1"/>
  <c r="J108" i="1"/>
  <c r="J120" i="1" s="1"/>
  <c r="F113" i="1"/>
  <c r="H226" i="1"/>
  <c r="G227" i="1" s="1"/>
  <c r="L227" i="1" s="1"/>
  <c r="G242" i="1" s="1"/>
  <c r="H359" i="1"/>
  <c r="C117" i="1"/>
  <c r="B81" i="1"/>
  <c r="E76" i="1"/>
  <c r="B76" i="1"/>
  <c r="E71" i="1"/>
  <c r="B71" i="1"/>
  <c r="B66" i="1"/>
  <c r="E66" i="1"/>
  <c r="E61" i="1"/>
  <c r="B61" i="1"/>
  <c r="B58" i="1"/>
  <c r="N16" i="1"/>
  <c r="H21" i="1" s="1"/>
  <c r="L21" i="1" s="1"/>
  <c r="N15" i="1"/>
  <c r="H20" i="1" s="1"/>
  <c r="H31" i="1" l="1"/>
  <c r="K34" i="1"/>
  <c r="K36" i="1"/>
  <c r="L20" i="1"/>
  <c r="C115" i="1"/>
  <c r="B511" i="1" s="1"/>
  <c r="B514" i="1"/>
  <c r="E190" i="1"/>
  <c r="G190" i="1" s="1"/>
  <c r="I235" i="1"/>
  <c r="I239" i="1"/>
  <c r="I240" i="1"/>
  <c r="I242" i="1"/>
  <c r="K242" i="1" s="1"/>
  <c r="I243" i="1"/>
  <c r="U292" i="1"/>
  <c r="U294" i="1" s="1"/>
  <c r="N434" i="1"/>
  <c r="P359" i="1"/>
  <c r="G413" i="1"/>
  <c r="H157" i="1"/>
  <c r="E158" i="1"/>
  <c r="I209" i="1"/>
  <c r="I208" i="1"/>
  <c r="I197" i="1"/>
  <c r="O197" i="1" s="1"/>
  <c r="G235" i="1" s="1"/>
  <c r="E208" i="1"/>
  <c r="G208" i="1" s="1"/>
  <c r="I191" i="1"/>
  <c r="E191" i="1"/>
  <c r="G191" i="1" s="1"/>
  <c r="I99" i="1"/>
  <c r="E262" i="1" s="1"/>
  <c r="G274" i="1" s="1"/>
  <c r="I101" i="1"/>
  <c r="F200" i="1" s="1"/>
  <c r="G236" i="1" s="1"/>
  <c r="I292" i="1" s="1"/>
  <c r="E209" i="1" l="1"/>
  <c r="G209" i="1" s="1"/>
  <c r="K209" i="1" s="1"/>
  <c r="M526" i="1"/>
  <c r="F526" i="1"/>
  <c r="D514" i="1"/>
  <c r="D517" i="1"/>
  <c r="U298" i="1"/>
  <c r="U296" i="1"/>
  <c r="U300" i="1"/>
  <c r="R366" i="1"/>
  <c r="R364" i="1"/>
  <c r="R363" i="1"/>
  <c r="S359" i="1"/>
  <c r="R491" i="1"/>
  <c r="R492" i="1"/>
  <c r="R490" i="1"/>
  <c r="R489" i="1"/>
  <c r="R365" i="1"/>
  <c r="N438" i="1"/>
  <c r="N442" i="1"/>
  <c r="N440" i="1"/>
  <c r="N436" i="1"/>
  <c r="G292" i="1"/>
  <c r="G300" i="1" s="1"/>
  <c r="F434" i="1"/>
  <c r="U305" i="1"/>
  <c r="U311" i="1" s="1"/>
  <c r="N447" i="1"/>
  <c r="R414" i="1"/>
  <c r="O414" i="1"/>
  <c r="K274" i="1"/>
  <c r="M332" i="1" s="1"/>
  <c r="M319" i="1"/>
  <c r="I298" i="1"/>
  <c r="I300" i="1"/>
  <c r="I296" i="1"/>
  <c r="I294" i="1"/>
  <c r="K235" i="1"/>
  <c r="E160" i="1"/>
  <c r="K169" i="1" s="1"/>
  <c r="E170" i="1" s="1"/>
  <c r="I249" i="1" s="1"/>
  <c r="G270" i="1" s="1"/>
  <c r="D461" i="1" s="1"/>
  <c r="D463" i="1" s="1"/>
  <c r="K191" i="1"/>
  <c r="K208" i="1"/>
  <c r="K37" i="1"/>
  <c r="I102" i="1"/>
  <c r="F203" i="1" s="1"/>
  <c r="G237" i="1" s="1"/>
  <c r="K292" i="1" s="1"/>
  <c r="H32" i="1"/>
  <c r="K38" i="1" s="1"/>
  <c r="H516" i="1" l="1"/>
  <c r="E532" i="1"/>
  <c r="E319" i="1"/>
  <c r="E323" i="1" s="1"/>
  <c r="G298" i="1"/>
  <c r="G294" i="1"/>
  <c r="N453" i="1"/>
  <c r="N455" i="1"/>
  <c r="N449" i="1"/>
  <c r="N451" i="1"/>
  <c r="U309" i="1"/>
  <c r="F440" i="1"/>
  <c r="F436" i="1"/>
  <c r="F442" i="1"/>
  <c r="F438" i="1"/>
  <c r="U313" i="1"/>
  <c r="U307" i="1"/>
  <c r="G305" i="1"/>
  <c r="G313" i="1" s="1"/>
  <c r="F447" i="1"/>
  <c r="G296" i="1"/>
  <c r="M338" i="1"/>
  <c r="M334" i="1"/>
  <c r="M336" i="1"/>
  <c r="M340" i="1"/>
  <c r="M321" i="1"/>
  <c r="M327" i="1"/>
  <c r="M323" i="1"/>
  <c r="M325" i="1"/>
  <c r="K300" i="1"/>
  <c r="K296" i="1"/>
  <c r="K294" i="1"/>
  <c r="K298" i="1"/>
  <c r="K270" i="1"/>
  <c r="I163" i="1"/>
  <c r="E164" i="1" s="1"/>
  <c r="I256" i="1" s="1"/>
  <c r="G272" i="1" s="1"/>
  <c r="H461" i="1" s="1"/>
  <c r="H463" i="1" s="1"/>
  <c r="J166" i="1"/>
  <c r="E167" i="1" s="1"/>
  <c r="I252" i="1" s="1"/>
  <c r="G271" i="1" s="1"/>
  <c r="F461" i="1" s="1"/>
  <c r="F463" i="1" s="1"/>
  <c r="I217" i="1"/>
  <c r="G239" i="1" s="1"/>
  <c r="J434" i="1" s="1"/>
  <c r="S111" i="1"/>
  <c r="I103" i="1"/>
  <c r="F223" i="1" s="1"/>
  <c r="G241" i="1" s="1"/>
  <c r="E327" i="1" l="1"/>
  <c r="J462" i="1"/>
  <c r="K502" i="1" s="1"/>
  <c r="I533" i="1" s="1"/>
  <c r="E325" i="1"/>
  <c r="E321" i="1"/>
  <c r="H469" i="1"/>
  <c r="H467" i="1"/>
  <c r="H465" i="1"/>
  <c r="E332" i="1"/>
  <c r="E340" i="1" s="1"/>
  <c r="D474" i="1"/>
  <c r="D467" i="1"/>
  <c r="D465" i="1"/>
  <c r="D469" i="1"/>
  <c r="F467" i="1"/>
  <c r="F469" i="1"/>
  <c r="F465" i="1"/>
  <c r="G311" i="1"/>
  <c r="G309" i="1"/>
  <c r="G307" i="1"/>
  <c r="J440" i="1"/>
  <c r="J442" i="1"/>
  <c r="J438" i="1"/>
  <c r="F449" i="1"/>
  <c r="F455" i="1"/>
  <c r="F453" i="1"/>
  <c r="F451" i="1"/>
  <c r="I220" i="1"/>
  <c r="G240" i="1" s="1"/>
  <c r="L434" i="1" s="1"/>
  <c r="K239" i="1"/>
  <c r="O292" i="1"/>
  <c r="K271" i="1"/>
  <c r="G319" i="1"/>
  <c r="S292" i="1"/>
  <c r="K272" i="1"/>
  <c r="I319" i="1"/>
  <c r="S107" i="1"/>
  <c r="G276" i="1"/>
  <c r="I230" i="1"/>
  <c r="G243" i="1" s="1"/>
  <c r="P434" i="1" s="1"/>
  <c r="S109" i="1"/>
  <c r="J466" i="1" l="1"/>
  <c r="K504" i="1" s="1"/>
  <c r="J464" i="1"/>
  <c r="K503" i="1" s="1"/>
  <c r="E338" i="1"/>
  <c r="E336" i="1"/>
  <c r="G332" i="1"/>
  <c r="G340" i="1" s="1"/>
  <c r="F474" i="1"/>
  <c r="E334" i="1"/>
  <c r="I332" i="1"/>
  <c r="I340" i="1" s="1"/>
  <c r="H474" i="1"/>
  <c r="D480" i="1"/>
  <c r="D478" i="1"/>
  <c r="D476" i="1"/>
  <c r="D482" i="1"/>
  <c r="J468" i="1"/>
  <c r="K505" i="1" s="1"/>
  <c r="L438" i="1"/>
  <c r="L442" i="1"/>
  <c r="L440" i="1"/>
  <c r="P442" i="1"/>
  <c r="P440" i="1"/>
  <c r="P436" i="1"/>
  <c r="P438" i="1"/>
  <c r="O305" i="1"/>
  <c r="O311" i="1" s="1"/>
  <c r="J447" i="1"/>
  <c r="G325" i="1"/>
  <c r="G321" i="1"/>
  <c r="G323" i="1"/>
  <c r="G327" i="1"/>
  <c r="I325" i="1"/>
  <c r="I321" i="1"/>
  <c r="I327" i="1"/>
  <c r="I323" i="1"/>
  <c r="K276" i="1"/>
  <c r="S294" i="1"/>
  <c r="S300" i="1"/>
  <c r="S296" i="1"/>
  <c r="S298" i="1"/>
  <c r="K240" i="1"/>
  <c r="L447" i="1" s="1"/>
  <c r="Q292" i="1"/>
  <c r="O300" i="1"/>
  <c r="O296" i="1"/>
  <c r="O298" i="1"/>
  <c r="O294" i="1"/>
  <c r="K243" i="1"/>
  <c r="W292" i="1"/>
  <c r="G338" i="1" l="1"/>
  <c r="G336" i="1"/>
  <c r="G334" i="1"/>
  <c r="I338" i="1"/>
  <c r="F482" i="1"/>
  <c r="F480" i="1"/>
  <c r="F478" i="1"/>
  <c r="F476" i="1"/>
  <c r="H482" i="1"/>
  <c r="H478" i="1"/>
  <c r="H480" i="1"/>
  <c r="H476" i="1"/>
  <c r="I336" i="1"/>
  <c r="I334" i="1"/>
  <c r="O307" i="1"/>
  <c r="O313" i="1"/>
  <c r="O309" i="1"/>
  <c r="W305" i="1"/>
  <c r="W307" i="1" s="1"/>
  <c r="P447" i="1"/>
  <c r="L451" i="1"/>
  <c r="L449" i="1"/>
  <c r="L455" i="1"/>
  <c r="L453" i="1"/>
  <c r="J451" i="1"/>
  <c r="J455" i="1"/>
  <c r="J453" i="1"/>
  <c r="J449" i="1"/>
  <c r="Q339" i="1"/>
  <c r="Q326" i="1"/>
  <c r="K394" i="1" s="1"/>
  <c r="Q322" i="1"/>
  <c r="K392" i="1" s="1"/>
  <c r="Q320" i="1"/>
  <c r="K391" i="1" s="1"/>
  <c r="Q324" i="1"/>
  <c r="K393" i="1" s="1"/>
  <c r="Q305" i="1"/>
  <c r="W294" i="1"/>
  <c r="W298" i="1"/>
  <c r="W300" i="1"/>
  <c r="W296" i="1"/>
  <c r="Q294" i="1"/>
  <c r="Q296" i="1"/>
  <c r="Q300" i="1"/>
  <c r="Q298" i="1"/>
  <c r="Q335" i="1" l="1"/>
  <c r="J364" i="1" s="1"/>
  <c r="Q337" i="1"/>
  <c r="J365" i="1" s="1"/>
  <c r="Q333" i="1"/>
  <c r="J363" i="1" s="1"/>
  <c r="J477" i="1"/>
  <c r="J490" i="1" s="1"/>
  <c r="J540" i="1" s="1"/>
  <c r="J479" i="1"/>
  <c r="J491" i="1" s="1"/>
  <c r="J541" i="1" s="1"/>
  <c r="J481" i="1"/>
  <c r="J492" i="1" s="1"/>
  <c r="J542" i="1" s="1"/>
  <c r="W311" i="1"/>
  <c r="J475" i="1"/>
  <c r="J489" i="1" s="1"/>
  <c r="J539" i="1" s="1"/>
  <c r="W309" i="1"/>
  <c r="W313" i="1"/>
  <c r="P449" i="1"/>
  <c r="P453" i="1"/>
  <c r="P451" i="1"/>
  <c r="P455" i="1"/>
  <c r="J366" i="1"/>
  <c r="J424" i="1"/>
  <c r="Q309" i="1"/>
  <c r="Q313" i="1"/>
  <c r="Q307" i="1"/>
  <c r="Q311" i="1"/>
  <c r="J422" i="1" l="1"/>
  <c r="J423" i="1"/>
  <c r="J421" i="1"/>
  <c r="L436" i="1"/>
  <c r="J436" i="1"/>
  <c r="I108" i="1"/>
  <c r="I120" i="1" s="1"/>
  <c r="G120" i="1" s="1"/>
  <c r="F93" i="1"/>
  <c r="G109" i="1" s="1"/>
  <c r="G113" i="1" s="1"/>
  <c r="E210" i="1" l="1"/>
  <c r="G210" i="1" s="1"/>
  <c r="I210" i="1"/>
  <c r="E188" i="1"/>
  <c r="G188" i="1" s="1"/>
  <c r="I188" i="1"/>
  <c r="I190" i="1"/>
  <c r="K190" i="1" s="1"/>
  <c r="I189" i="1"/>
  <c r="I236" i="1"/>
  <c r="K236" i="1" s="1"/>
  <c r="I305" i="1" s="1"/>
  <c r="I237" i="1"/>
  <c r="K237" i="1" s="1"/>
  <c r="K305" i="1" s="1"/>
  <c r="E189" i="1"/>
  <c r="G189" i="1" s="1"/>
  <c r="K189" i="1" s="1"/>
  <c r="D97" i="1"/>
  <c r="I241" i="1"/>
  <c r="K241" i="1" s="1"/>
  <c r="S305" i="1" s="1"/>
  <c r="K84" i="1" l="1"/>
  <c r="N84" i="1" s="1"/>
  <c r="K85" i="1"/>
  <c r="S311" i="1"/>
  <c r="S309" i="1"/>
  <c r="S307" i="1"/>
  <c r="S313" i="1"/>
  <c r="K311" i="1"/>
  <c r="K313" i="1"/>
  <c r="K307" i="1"/>
  <c r="K309" i="1"/>
  <c r="I307" i="1"/>
  <c r="I313" i="1"/>
  <c r="I309" i="1"/>
  <c r="I311" i="1"/>
  <c r="G192" i="1"/>
  <c r="F194" i="1" s="1"/>
  <c r="G234" i="1" s="1"/>
  <c r="K188" i="1"/>
  <c r="K192" i="1" s="1"/>
  <c r="K210" i="1"/>
  <c r="K211" i="1" s="1"/>
  <c r="G211" i="1"/>
  <c r="F213" i="1" s="1"/>
  <c r="G238" i="1" s="1"/>
  <c r="M194" i="1" l="1"/>
  <c r="I234" i="1" s="1"/>
  <c r="H434" i="1"/>
  <c r="M292" i="1"/>
  <c r="M213" i="1"/>
  <c r="I238" i="1" s="1"/>
  <c r="K238" i="1" s="1"/>
  <c r="K234" i="1"/>
  <c r="E292" i="1"/>
  <c r="G244" i="1"/>
  <c r="D434" i="1"/>
  <c r="M305" i="1" l="1"/>
  <c r="H447" i="1"/>
  <c r="E294" i="1"/>
  <c r="E296" i="1"/>
  <c r="E298" i="1"/>
  <c r="Y297" i="1" s="1"/>
  <c r="E300" i="1"/>
  <c r="Y299" i="1" s="1"/>
  <c r="D440" i="1"/>
  <c r="D442" i="1"/>
  <c r="D436" i="1"/>
  <c r="D438" i="1"/>
  <c r="R437" i="1" s="1"/>
  <c r="K244" i="1"/>
  <c r="E305" i="1"/>
  <c r="D447" i="1"/>
  <c r="M294" i="1"/>
  <c r="M298" i="1"/>
  <c r="M300" i="1"/>
  <c r="M296" i="1"/>
  <c r="H438" i="1"/>
  <c r="H440" i="1"/>
  <c r="H442" i="1"/>
  <c r="H436" i="1"/>
  <c r="Y293" i="1" l="1"/>
  <c r="R441" i="1"/>
  <c r="R435" i="1"/>
  <c r="R439" i="1"/>
  <c r="F492" i="1"/>
  <c r="F505" i="1"/>
  <c r="F489" i="1"/>
  <c r="F502" i="1"/>
  <c r="F503" i="1"/>
  <c r="F490" i="1"/>
  <c r="F394" i="1"/>
  <c r="H394" i="1" s="1"/>
  <c r="N394" i="1" s="1"/>
  <c r="F424" i="1"/>
  <c r="F366" i="1"/>
  <c r="Y295" i="1"/>
  <c r="H455" i="1"/>
  <c r="H451" i="1"/>
  <c r="H449" i="1"/>
  <c r="H453" i="1"/>
  <c r="E313" i="1"/>
  <c r="E307" i="1"/>
  <c r="E309" i="1"/>
  <c r="E311" i="1"/>
  <c r="F491" i="1"/>
  <c r="F504" i="1"/>
  <c r="F393" i="1"/>
  <c r="H393" i="1" s="1"/>
  <c r="N393" i="1" s="1"/>
  <c r="F423" i="1"/>
  <c r="F365" i="1"/>
  <c r="F363" i="1"/>
  <c r="F391" i="1"/>
  <c r="H391" i="1" s="1"/>
  <c r="N391" i="1" s="1"/>
  <c r="F421" i="1"/>
  <c r="D455" i="1"/>
  <c r="D453" i="1"/>
  <c r="R452" i="1" s="1"/>
  <c r="H491" i="1" s="1"/>
  <c r="D449" i="1"/>
  <c r="R448" i="1" s="1"/>
  <c r="H489" i="1" s="1"/>
  <c r="D451" i="1"/>
  <c r="M307" i="1"/>
  <c r="M313" i="1"/>
  <c r="M309" i="1"/>
  <c r="M311" i="1"/>
  <c r="Y310" i="1" l="1"/>
  <c r="F364" i="1"/>
  <c r="F422" i="1"/>
  <c r="F392" i="1"/>
  <c r="H392" i="1" s="1"/>
  <c r="N392" i="1" s="1"/>
  <c r="Y308" i="1"/>
  <c r="F540" i="1"/>
  <c r="H503" i="1"/>
  <c r="N503" i="1" s="1"/>
  <c r="Y306" i="1"/>
  <c r="H502" i="1"/>
  <c r="F539" i="1"/>
  <c r="F541" i="1"/>
  <c r="H504" i="1"/>
  <c r="N504" i="1" s="1"/>
  <c r="L491" i="1"/>
  <c r="O491" i="1" s="1"/>
  <c r="U491" i="1" s="1"/>
  <c r="H541" i="1"/>
  <c r="Y312" i="1"/>
  <c r="R450" i="1"/>
  <c r="H490" i="1" s="1"/>
  <c r="L489" i="1"/>
  <c r="O489" i="1" s="1"/>
  <c r="U489" i="1" s="1"/>
  <c r="H539" i="1"/>
  <c r="R454" i="1"/>
  <c r="H492" i="1" s="1"/>
  <c r="H505" i="1"/>
  <c r="N505" i="1" s="1"/>
  <c r="F542" i="1"/>
  <c r="L539" i="1" l="1"/>
  <c r="O539" i="1" s="1"/>
  <c r="R539" i="1" s="1"/>
  <c r="W539" i="1" s="1"/>
  <c r="L492" i="1"/>
  <c r="O492" i="1" s="1"/>
  <c r="U492" i="1" s="1"/>
  <c r="H542" i="1"/>
  <c r="L542" i="1" s="1"/>
  <c r="O542" i="1" s="1"/>
  <c r="R542" i="1" s="1"/>
  <c r="W542" i="1" s="1"/>
  <c r="H540" i="1"/>
  <c r="L540" i="1" s="1"/>
  <c r="O540" i="1" s="1"/>
  <c r="R540" i="1" s="1"/>
  <c r="W540" i="1" s="1"/>
  <c r="L490" i="1"/>
  <c r="O490" i="1" s="1"/>
  <c r="U490" i="1" s="1"/>
  <c r="H422" i="1"/>
  <c r="L422" i="1" s="1"/>
  <c r="O422" i="1" s="1"/>
  <c r="R422" i="1" s="1"/>
  <c r="W422" i="1" s="1"/>
  <c r="H364" i="1"/>
  <c r="L364" i="1" s="1"/>
  <c r="O364" i="1" s="1"/>
  <c r="U364" i="1" s="1"/>
  <c r="H424" i="1"/>
  <c r="L424" i="1" s="1"/>
  <c r="O424" i="1" s="1"/>
  <c r="R424" i="1" s="1"/>
  <c r="W424" i="1" s="1"/>
  <c r="H366" i="1"/>
  <c r="L366" i="1" s="1"/>
  <c r="O366" i="1" s="1"/>
  <c r="U366" i="1" s="1"/>
  <c r="L541" i="1"/>
  <c r="O541" i="1" s="1"/>
  <c r="R541" i="1" s="1"/>
  <c r="W541" i="1" s="1"/>
  <c r="E530" i="1"/>
  <c r="G533" i="1" s="1"/>
  <c r="K533" i="1" s="1"/>
  <c r="N502" i="1"/>
  <c r="H363" i="1"/>
  <c r="L363" i="1" s="1"/>
  <c r="O363" i="1" s="1"/>
  <c r="U363" i="1" s="1"/>
  <c r="H421" i="1"/>
  <c r="L421" i="1" s="1"/>
  <c r="O421" i="1" s="1"/>
  <c r="R421" i="1" s="1"/>
  <c r="W421" i="1" s="1"/>
  <c r="H423" i="1"/>
  <c r="L423" i="1" s="1"/>
  <c r="O423" i="1" s="1"/>
  <c r="R423" i="1" s="1"/>
  <c r="W423" i="1" s="1"/>
  <c r="H365" i="1"/>
  <c r="L365" i="1" s="1"/>
  <c r="O365" i="1" s="1"/>
  <c r="U3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CECILIA</author>
    <author>Microsoft Office User</author>
  </authors>
  <commentList>
    <comment ref="B5" authorId="0" shapeId="0" xr:uid="{00000000-0006-0000-0000-000001000000}">
      <text>
        <r>
          <rPr>
            <sz val="9"/>
            <color indexed="81"/>
            <rFont val="Tahoma"/>
            <family val="2"/>
          </rPr>
          <t>Capacidad última para el estado límite de resistencia.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Ángulo de fricción interna del suelo.</t>
        </r>
      </text>
    </comment>
    <comment ref="B8" authorId="0" shapeId="0" xr:uid="{00000000-0006-0000-0000-000003000000}">
      <text>
        <r>
          <rPr>
            <sz val="9"/>
            <color indexed="81"/>
            <rFont val="Tahoma"/>
            <family val="2"/>
          </rPr>
          <t>Ángulo de fricción entre el suelo y el muro (grados).</t>
        </r>
      </text>
    </comment>
    <comment ref="B9" authorId="0" shapeId="0" xr:uid="{00000000-0006-0000-0000-000004000000}">
      <text>
        <r>
          <rPr>
            <sz val="9"/>
            <color indexed="81"/>
            <rFont val="Tahoma"/>
            <family val="2"/>
          </rPr>
          <t>Peso específico del terreno.</t>
        </r>
      </text>
    </comment>
    <comment ref="L47" authorId="0" shapeId="0" xr:uid="{00000000-0006-0000-0000-000005000000}">
      <text>
        <r>
          <rPr>
            <sz val="9"/>
            <color indexed="81"/>
            <rFont val="Tahoma"/>
            <family val="2"/>
          </rPr>
          <t>Ángulo de fricción interna del suelo.</t>
        </r>
      </text>
    </comment>
    <comment ref="L48" authorId="0" shapeId="0" xr:uid="{00000000-0006-0000-0000-000006000000}">
      <text>
        <r>
          <rPr>
            <sz val="9"/>
            <color indexed="81"/>
            <rFont val="Tahoma"/>
            <family val="2"/>
          </rPr>
          <t>Ángulo de fricción entre el suelo y el muro (grados).</t>
        </r>
      </text>
    </comment>
    <comment ref="L49" authorId="0" shapeId="0" xr:uid="{00000000-0006-0000-0000-000007000000}">
      <text>
        <r>
          <rPr>
            <sz val="9"/>
            <color indexed="81"/>
            <rFont val="Tahoma"/>
            <family val="2"/>
          </rPr>
          <t>Peso específico del terreno.</t>
        </r>
      </text>
    </comment>
    <comment ref="G51" authorId="0" shapeId="0" xr:uid="{00000000-0006-0000-0000-000008000000}">
      <text>
        <r>
          <rPr>
            <sz val="9"/>
            <color indexed="81"/>
            <rFont val="Tahoma"/>
            <family val="2"/>
          </rPr>
          <t>Peso específico del concreto.</t>
        </r>
      </text>
    </comment>
    <comment ref="G187" authorId="1" shapeId="0" xr:uid="{00000000-0006-0000-0000-000009000000}">
      <text>
        <r>
          <rPr>
            <b/>
            <sz val="10"/>
            <color rgb="FF000000"/>
            <rFont val="Tahoma"/>
            <family val="2"/>
          </rPr>
          <t>Volumen * el peso especifico del concreto.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I187" authorId="1" shapeId="0" xr:uid="{00000000-0006-0000-0000-00000A000000}">
      <text>
        <r>
          <rPr>
            <b/>
            <sz val="10"/>
            <color rgb="FF000000"/>
            <rFont val="Tahoma"/>
            <family val="2"/>
          </rPr>
          <t>Ubicación del elemento en X con respecto al punto A.</t>
        </r>
      </text>
    </comment>
    <comment ref="G207" authorId="1" shapeId="0" xr:uid="{00000000-0006-0000-0000-00000B000000}">
      <text>
        <r>
          <rPr>
            <b/>
            <sz val="10"/>
            <color rgb="FF000000"/>
            <rFont val="Tahoma"/>
            <family val="2"/>
          </rPr>
          <t>Volumen * el peso especifico del concreto.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I207" authorId="1" shapeId="0" xr:uid="{00000000-0006-0000-0000-00000C000000}">
      <text>
        <r>
          <rPr>
            <b/>
            <sz val="10"/>
            <color rgb="FF000000"/>
            <rFont val="Tahoma"/>
            <family val="2"/>
          </rPr>
          <t>Ubicación del elemento en X con respecto al punto A.</t>
        </r>
      </text>
    </comment>
    <comment ref="E23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GRUPO 3:</t>
        </r>
        <r>
          <rPr>
            <sz val="9"/>
            <color indexed="81"/>
            <rFont val="Tahoma"/>
            <family val="2"/>
          </rPr>
          <t xml:space="preserve">
Presión vertical por carga muerta del terreno.</t>
        </r>
      </text>
    </comment>
    <comment ref="E23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GRUPO 3:</t>
        </r>
        <r>
          <rPr>
            <sz val="9"/>
            <color indexed="81"/>
            <rFont val="Tahoma"/>
            <family val="2"/>
          </rPr>
          <t xml:space="preserve">
Presión lateral del terreno.</t>
        </r>
      </text>
    </comment>
    <comment ref="E240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GRUPO 3:</t>
        </r>
        <r>
          <rPr>
            <sz val="9"/>
            <color indexed="81"/>
            <rFont val="Tahoma"/>
            <family val="2"/>
          </rPr>
          <t xml:space="preserve">
Presión lateral del terreno por la losa de acercamiento.</t>
        </r>
      </text>
    </comment>
    <comment ref="F282" authorId="1" shapeId="0" xr:uid="{00000000-0006-0000-0000-000010000000}">
      <text>
        <r>
          <rPr>
            <b/>
            <sz val="10"/>
            <color rgb="FF000000"/>
            <rFont val="Tahoma"/>
            <family val="2"/>
          </rPr>
          <t>carga muerta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282" authorId="1" shapeId="0" xr:uid="{00000000-0006-0000-0000-000011000000}">
      <text>
        <r>
          <rPr>
            <b/>
            <sz val="10"/>
            <color rgb="FF000000"/>
            <rFont val="Tahoma"/>
            <family val="2"/>
          </rPr>
          <t>Carga de la superficie de rodadura.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H282" authorId="1" shapeId="0" xr:uid="{00000000-0006-0000-0000-000012000000}">
      <text>
        <r>
          <rPr>
            <b/>
            <sz val="10"/>
            <color rgb="FF000000"/>
            <rFont val="Tahoma"/>
            <family val="2"/>
          </rPr>
          <t>carga de las presiones vericales del terreno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I282" authorId="1" shapeId="0" xr:uid="{00000000-0006-0000-0000-000013000000}">
      <text>
        <r>
          <rPr>
            <b/>
            <sz val="10"/>
            <color rgb="FF000000"/>
            <rFont val="Tahoma"/>
            <family val="2"/>
          </rPr>
          <t>carga viva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J282" authorId="1" shapeId="0" xr:uid="{00000000-0006-0000-0000-000014000000}">
      <text>
        <r>
          <rPr>
            <b/>
            <sz val="10"/>
            <color rgb="FF000000"/>
            <rFont val="Tahoma"/>
            <family val="2"/>
          </rPr>
          <t>Sobrecarga de la carga viva en el terreno.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K282" authorId="1" shapeId="0" xr:uid="{00000000-0006-0000-0000-000015000000}">
      <text>
        <r>
          <rPr>
            <b/>
            <sz val="10"/>
            <color rgb="FF000000"/>
            <rFont val="Tahoma"/>
            <family val="2"/>
          </rPr>
          <t>presion lateral del terreno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282" authorId="1" shapeId="0" xr:uid="{00000000-0006-0000-0000-000016000000}">
      <text>
        <r>
          <rPr>
            <b/>
            <sz val="10"/>
            <color rgb="FF000000"/>
            <rFont val="Tahoma"/>
            <family val="2"/>
          </rPr>
          <t>Sobrecarga por carga viva en el terreno - componente horizontal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M282" authorId="1" shapeId="0" xr:uid="{00000000-0006-0000-0000-000017000000}">
      <text>
        <r>
          <rPr>
            <b/>
            <sz val="10"/>
            <color rgb="FF000000"/>
            <rFont val="Tahoma"/>
            <family val="2"/>
          </rPr>
          <t>Cargas de viento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282" authorId="1" shapeId="0" xr:uid="{00000000-0006-0000-0000-000018000000}">
      <text>
        <r>
          <rPr>
            <b/>
            <sz val="10"/>
            <color rgb="FF000000"/>
            <rFont val="Tahoma"/>
            <family val="2"/>
          </rPr>
          <t>fuerza de frenado de los vehiculos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U41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GRUPO 3:</t>
        </r>
        <r>
          <rPr>
            <sz val="9"/>
            <color indexed="81"/>
            <rFont val="Tahoma"/>
            <family val="2"/>
          </rPr>
          <t xml:space="preserve">
Capacidad de carga factorada del terreno.</t>
        </r>
      </text>
    </comment>
    <comment ref="U537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GRUPO 3:</t>
        </r>
        <r>
          <rPr>
            <sz val="9"/>
            <color indexed="81"/>
            <rFont val="Tahoma"/>
            <family val="2"/>
          </rPr>
          <t xml:space="preserve">
Capacidad de carga factorada del terreno.</t>
        </r>
      </text>
    </comment>
  </commentList>
</comments>
</file>

<file path=xl/sharedStrings.xml><?xml version="1.0" encoding="utf-8"?>
<sst xmlns="http://schemas.openxmlformats.org/spreadsheetml/2006/main" count="932" uniqueCount="326">
  <si>
    <t>DISEÑO DE ESTRIBO DE GRAVEDAD</t>
  </si>
  <si>
    <t>=</t>
  </si>
  <si>
    <r>
      <t>kg/cm</t>
    </r>
    <r>
      <rPr>
        <sz val="9"/>
        <color theme="1"/>
        <rFont val="Calibri"/>
        <family val="2"/>
      </rPr>
      <t>²</t>
    </r>
  </si>
  <si>
    <t>Z</t>
  </si>
  <si>
    <r>
      <rPr>
        <sz val="9"/>
        <color theme="1"/>
        <rFont val="Calibri"/>
        <family val="2"/>
      </rPr>
      <t>ρ</t>
    </r>
    <r>
      <rPr>
        <sz val="9"/>
        <color theme="1"/>
        <rFont val="Arial Narrow"/>
        <family val="2"/>
      </rPr>
      <t>b</t>
    </r>
  </si>
  <si>
    <t>δ</t>
  </si>
  <si>
    <r>
      <t>Ø</t>
    </r>
    <r>
      <rPr>
        <vertAlign val="subscript"/>
        <sz val="9"/>
        <color theme="1"/>
        <rFont val="Arial Narrow"/>
        <family val="2"/>
      </rPr>
      <t>f</t>
    </r>
  </si>
  <si>
    <r>
      <t>ɣ</t>
    </r>
    <r>
      <rPr>
        <vertAlign val="subscript"/>
        <sz val="9"/>
        <color theme="1"/>
        <rFont val="Arial Narrow"/>
        <family val="2"/>
      </rPr>
      <t>t</t>
    </r>
  </si>
  <si>
    <r>
      <t>q</t>
    </r>
    <r>
      <rPr>
        <vertAlign val="subscript"/>
        <sz val="9"/>
        <color theme="1"/>
        <rFont val="Arial Narrow"/>
        <family val="2"/>
      </rPr>
      <t>R</t>
    </r>
  </si>
  <si>
    <t>METRADO DE CARGAS</t>
  </si>
  <si>
    <t>1.-</t>
  </si>
  <si>
    <t>a) Carga muerta</t>
  </si>
  <si>
    <t xml:space="preserve">PESO PROPIO DE LA LOSA </t>
  </si>
  <si>
    <t>m</t>
  </si>
  <si>
    <r>
      <t>kg/m</t>
    </r>
    <r>
      <rPr>
        <sz val="9"/>
        <color theme="1"/>
        <rFont val="Calibri"/>
        <family val="2"/>
      </rPr>
      <t>³</t>
    </r>
  </si>
  <si>
    <t xml:space="preserve">PESO DE ASFALTO </t>
  </si>
  <si>
    <t>x</t>
  </si>
  <si>
    <r>
      <t>P</t>
    </r>
    <r>
      <rPr>
        <vertAlign val="subscript"/>
        <sz val="9"/>
        <color theme="1"/>
        <rFont val="Arial Narrow"/>
        <family val="2"/>
      </rPr>
      <t>DC</t>
    </r>
  </si>
  <si>
    <r>
      <t>P</t>
    </r>
    <r>
      <rPr>
        <vertAlign val="subscript"/>
        <sz val="9"/>
        <color theme="1"/>
        <rFont val="Arial Narrow"/>
        <family val="2"/>
      </rPr>
      <t>DW</t>
    </r>
  </si>
  <si>
    <r>
      <t>P</t>
    </r>
    <r>
      <rPr>
        <b/>
        <vertAlign val="subscript"/>
        <sz val="9"/>
        <color theme="1"/>
        <rFont val="Arial Narrow"/>
        <family val="2"/>
      </rPr>
      <t>DC</t>
    </r>
  </si>
  <si>
    <r>
      <t>P</t>
    </r>
    <r>
      <rPr>
        <b/>
        <vertAlign val="subscript"/>
        <sz val="9"/>
        <color theme="1"/>
        <rFont val="Arial Narrow"/>
        <family val="2"/>
      </rPr>
      <t>DW</t>
    </r>
  </si>
  <si>
    <t>kg/m</t>
  </si>
  <si>
    <t>b) Carga viva</t>
  </si>
  <si>
    <t xml:space="preserve">PESO POR EJE TANDEM </t>
  </si>
  <si>
    <t>PESO POR CARGA DISTRIBUIDA</t>
  </si>
  <si>
    <t xml:space="preserve">PESO POR CAMION DE DISEÑO </t>
  </si>
  <si>
    <t>Tn/m</t>
  </si>
  <si>
    <r>
      <t>kg/m</t>
    </r>
    <r>
      <rPr>
        <sz val="9"/>
        <color theme="1"/>
        <rFont val="Calibri"/>
        <family val="2"/>
      </rPr>
      <t>²</t>
    </r>
  </si>
  <si>
    <r>
      <t>P</t>
    </r>
    <r>
      <rPr>
        <b/>
        <vertAlign val="subscript"/>
        <sz val="9"/>
        <color theme="1"/>
        <rFont val="Arial Narrow"/>
        <family val="2"/>
      </rPr>
      <t>LL</t>
    </r>
  </si>
  <si>
    <r>
      <t>P</t>
    </r>
    <r>
      <rPr>
        <b/>
        <vertAlign val="subscript"/>
        <sz val="9"/>
        <color theme="1"/>
        <rFont val="Arial Narrow"/>
        <family val="2"/>
      </rPr>
      <t>IM</t>
    </r>
  </si>
  <si>
    <t>b</t>
  </si>
  <si>
    <t>h</t>
  </si>
  <si>
    <t>B</t>
  </si>
  <si>
    <t>a</t>
  </si>
  <si>
    <r>
      <t>P</t>
    </r>
    <r>
      <rPr>
        <vertAlign val="subscript"/>
        <sz val="9"/>
        <color theme="1"/>
        <rFont val="Arial Narrow"/>
        <family val="2"/>
      </rPr>
      <t>LL+IM</t>
    </r>
  </si>
  <si>
    <t>WS</t>
  </si>
  <si>
    <t>CR+SH+TU</t>
  </si>
  <si>
    <t>BR</t>
  </si>
  <si>
    <t>Losa de transición</t>
  </si>
  <si>
    <t>H</t>
  </si>
  <si>
    <t>TERRENO</t>
  </si>
  <si>
    <r>
      <t>ɣ</t>
    </r>
    <r>
      <rPr>
        <vertAlign val="subscript"/>
        <sz val="9"/>
        <color theme="1"/>
        <rFont val="Arial Narrow"/>
        <family val="2"/>
      </rPr>
      <t>c</t>
    </r>
  </si>
  <si>
    <t>Superestructura</t>
  </si>
  <si>
    <t>Estribo de gravedad</t>
  </si>
  <si>
    <t>2.-</t>
  </si>
  <si>
    <t>-</t>
  </si>
  <si>
    <t>B = ancho de cimiento</t>
  </si>
  <si>
    <t>1/2 H</t>
  </si>
  <si>
    <t>～</t>
  </si>
  <si>
    <t>2/3 H</t>
  </si>
  <si>
    <t>Asumimos un valor de:</t>
  </si>
  <si>
    <t>h = altura de cimiento</t>
  </si>
  <si>
    <t>H/6</t>
  </si>
  <si>
    <t>H/8</t>
  </si>
  <si>
    <t>a = longitud de punta</t>
  </si>
  <si>
    <t>H/12</t>
  </si>
  <si>
    <t>b = longitud de talón</t>
  </si>
  <si>
    <t>N</t>
  </si>
  <si>
    <t>(Asumido)</t>
  </si>
  <si>
    <t>&gt;</t>
  </si>
  <si>
    <r>
      <t>N</t>
    </r>
    <r>
      <rPr>
        <vertAlign val="subscript"/>
        <sz val="9"/>
        <color theme="1"/>
        <rFont val="Arial Narrow"/>
        <family val="2"/>
      </rPr>
      <t>min</t>
    </r>
  </si>
  <si>
    <t>A = espesor de parapeto</t>
  </si>
  <si>
    <r>
      <t>A</t>
    </r>
    <r>
      <rPr>
        <vertAlign val="subscript"/>
        <sz val="9"/>
        <color theme="1"/>
        <rFont val="Arial Narrow"/>
        <family val="2"/>
      </rPr>
      <t>min</t>
    </r>
  </si>
  <si>
    <t>L = longitud del tablero del puente</t>
  </si>
  <si>
    <t>Dato:</t>
  </si>
  <si>
    <t>H' = para puentes simplemente apoyados</t>
  </si>
  <si>
    <t>S = desviación del apoyo medido desde la línea normal del tramo (°)</t>
  </si>
  <si>
    <r>
      <t>N</t>
    </r>
    <r>
      <rPr>
        <b/>
        <vertAlign val="subscript"/>
        <sz val="9"/>
        <color theme="1"/>
        <rFont val="Arial Narrow"/>
        <family val="2"/>
      </rPr>
      <t>min</t>
    </r>
    <r>
      <rPr>
        <b/>
        <sz val="9"/>
        <color theme="1"/>
        <rFont val="Arial Narrow"/>
        <family val="2"/>
      </rPr>
      <t xml:space="preserve"> = longitud mínima de cajuela</t>
    </r>
  </si>
  <si>
    <r>
      <t>(200 + 0.0017*L + 0.0067*H ) (1 + 0.000125*S</t>
    </r>
    <r>
      <rPr>
        <sz val="9"/>
        <color theme="1"/>
        <rFont val="Calibri"/>
        <family val="2"/>
      </rPr>
      <t>²</t>
    </r>
    <r>
      <rPr>
        <sz val="8.65"/>
        <color theme="1"/>
        <rFont val="Arial Narrow"/>
        <family val="2"/>
      </rPr>
      <t>)</t>
    </r>
  </si>
  <si>
    <t>…...</t>
  </si>
  <si>
    <t>H =</t>
  </si>
  <si>
    <t>A</t>
  </si>
  <si>
    <t>Mínimo</t>
  </si>
  <si>
    <t>PREDIMENSIONAMIENTO DE ESTRIBO</t>
  </si>
  <si>
    <t>CASO I: ESTRIBO CON PUENTE</t>
  </si>
  <si>
    <t>𝝱</t>
  </si>
  <si>
    <t>θ</t>
  </si>
  <si>
    <t>A.</t>
  </si>
  <si>
    <t>COEFICIENTE DE EMPUJE ACTIVO.</t>
  </si>
  <si>
    <t>Ángulo de la inclinación del muro del lado del terreno</t>
  </si>
  <si>
    <t xml:space="preserve">Ángulo de fricción interna </t>
  </si>
  <si>
    <t>Ángulo de fricción entre el suelo y el muro</t>
  </si>
  <si>
    <t xml:space="preserve">Ángulo del material del suelo con la horizontal </t>
  </si>
  <si>
    <t>Se tiene:</t>
  </si>
  <si>
    <t>𝚪</t>
  </si>
  <si>
    <t>Como</t>
  </si>
  <si>
    <t>β</t>
  </si>
  <si>
    <t>0°</t>
  </si>
  <si>
    <t>y</t>
  </si>
  <si>
    <t>90°</t>
  </si>
  <si>
    <t>usamos la siguiente fórmula</t>
  </si>
  <si>
    <r>
      <t>Luego hallamos K</t>
    </r>
    <r>
      <rPr>
        <vertAlign val="subscript"/>
        <sz val="9"/>
        <color theme="1"/>
        <rFont val="Arial Narrow"/>
        <family val="2"/>
      </rPr>
      <t>a</t>
    </r>
  </si>
  <si>
    <r>
      <t>k</t>
    </r>
    <r>
      <rPr>
        <vertAlign val="subscript"/>
        <sz val="12"/>
        <color theme="1"/>
        <rFont val="Calibri"/>
        <family val="2"/>
        <scheme val="minor"/>
      </rPr>
      <t>a</t>
    </r>
  </si>
  <si>
    <t>Para</t>
  </si>
  <si>
    <t>*</t>
  </si>
  <si>
    <t>cos</t>
  </si>
  <si>
    <r>
      <t>K</t>
    </r>
    <r>
      <rPr>
        <vertAlign val="subscript"/>
        <sz val="9"/>
        <color theme="1"/>
        <rFont val="Calibri (Cuerpo)"/>
      </rPr>
      <t>a</t>
    </r>
  </si>
  <si>
    <r>
      <t>cos</t>
    </r>
    <r>
      <rPr>
        <vertAlign val="superscript"/>
        <sz val="9"/>
        <color theme="1"/>
        <rFont val="Calibri (Cuerpo)"/>
      </rPr>
      <t>2</t>
    </r>
  </si>
  <si>
    <t>Para cargas vehiculares actuando sobre el terreno agregamos una porcion equivalente de suelo por interpolación:</t>
  </si>
  <si>
    <t>Altura de estribo (m)</t>
  </si>
  <si>
    <t>h`</t>
  </si>
  <si>
    <t>ALTURA EQUIVALENTE DEL SUELO POR S/C .</t>
  </si>
  <si>
    <t>B.</t>
  </si>
  <si>
    <r>
      <t>H</t>
    </r>
    <r>
      <rPr>
        <vertAlign val="subscript"/>
        <sz val="9"/>
        <color theme="1"/>
        <rFont val="Arial Narrow"/>
        <family val="2"/>
      </rPr>
      <t>eq</t>
    </r>
    <r>
      <rPr>
        <sz val="9"/>
        <color theme="1"/>
        <rFont val="Arial Narrow"/>
        <family val="2"/>
      </rPr>
      <t xml:space="preserve"> (m)</t>
    </r>
  </si>
  <si>
    <t>Tabla 3.11.6.4-1, AASHTO - Altura de suelo equivalente para carga vehicular sobre estribos perpendiculares al tráfico</t>
  </si>
  <si>
    <t>C.</t>
  </si>
  <si>
    <t>METRADO DE CARGAS (Considerando franjas de 1.00 m de longitud de estribo)</t>
  </si>
  <si>
    <t>C.1.</t>
  </si>
  <si>
    <t>CARGAS VERTICALES</t>
  </si>
  <si>
    <t>Peso del estribo de concreto simple, con</t>
  </si>
  <si>
    <t>Elemento</t>
  </si>
  <si>
    <t>DC (kg/m)</t>
  </si>
  <si>
    <t>∑ =</t>
  </si>
  <si>
    <r>
      <t>X</t>
    </r>
    <r>
      <rPr>
        <b/>
        <vertAlign val="subscript"/>
        <sz val="9"/>
        <color theme="1"/>
        <rFont val="Arial Narrow"/>
        <family val="2"/>
      </rPr>
      <t>A</t>
    </r>
    <r>
      <rPr>
        <b/>
        <sz val="9"/>
        <color theme="1"/>
        <rFont val="Arial Narrow"/>
        <family val="2"/>
      </rPr>
      <t xml:space="preserve"> (m)</t>
    </r>
  </si>
  <si>
    <r>
      <t>X</t>
    </r>
    <r>
      <rPr>
        <b/>
        <vertAlign val="subscript"/>
        <sz val="9"/>
        <color theme="1"/>
        <rFont val="Arial Narrow"/>
        <family val="2"/>
      </rPr>
      <t xml:space="preserve">A </t>
    </r>
    <r>
      <rPr>
        <b/>
        <sz val="9"/>
        <color theme="1"/>
        <rFont val="Arial Narrow"/>
        <family val="2"/>
      </rPr>
      <t>* DC (kg-m/m)</t>
    </r>
  </si>
  <si>
    <t>Volumen (m3)</t>
  </si>
  <si>
    <r>
      <t>DC</t>
    </r>
    <r>
      <rPr>
        <vertAlign val="subscript"/>
        <sz val="9"/>
        <color theme="1"/>
        <rFont val="Arial Narrow"/>
        <family val="2"/>
      </rPr>
      <t>estribo</t>
    </r>
  </si>
  <si>
    <r>
      <t>EV</t>
    </r>
    <r>
      <rPr>
        <vertAlign val="subscript"/>
        <sz val="9"/>
        <color theme="1"/>
        <rFont val="Arial Narrow"/>
        <family val="2"/>
      </rPr>
      <t>3</t>
    </r>
  </si>
  <si>
    <r>
      <t>EV</t>
    </r>
    <r>
      <rPr>
        <vertAlign val="subscript"/>
        <sz val="9"/>
        <color theme="1"/>
        <rFont val="Arial Narrow"/>
        <family val="2"/>
      </rPr>
      <t>2</t>
    </r>
  </si>
  <si>
    <r>
      <t>EV</t>
    </r>
    <r>
      <rPr>
        <vertAlign val="subscript"/>
        <sz val="9"/>
        <color theme="1"/>
        <rFont val="Arial Narrow"/>
        <family val="2"/>
      </rPr>
      <t>1</t>
    </r>
  </si>
  <si>
    <r>
      <t>DC</t>
    </r>
    <r>
      <rPr>
        <vertAlign val="subscript"/>
        <sz val="9"/>
        <color theme="1"/>
        <rFont val="Arial Narrow"/>
        <family val="2"/>
      </rPr>
      <t>Losa</t>
    </r>
  </si>
  <si>
    <r>
      <t>LS</t>
    </r>
    <r>
      <rPr>
        <vertAlign val="subscript"/>
        <sz val="9"/>
        <color theme="1"/>
        <rFont val="Arial Narrow"/>
        <family val="2"/>
      </rPr>
      <t>1</t>
    </r>
  </si>
  <si>
    <r>
      <t>LS</t>
    </r>
    <r>
      <rPr>
        <vertAlign val="subscript"/>
        <sz val="9"/>
        <color theme="1"/>
        <rFont val="Arial Narrow"/>
        <family val="2"/>
      </rPr>
      <t>2</t>
    </r>
  </si>
  <si>
    <r>
      <t>EH</t>
    </r>
    <r>
      <rPr>
        <vertAlign val="subscript"/>
        <sz val="9"/>
        <color theme="1"/>
        <rFont val="Arial Narrow"/>
        <family val="2"/>
      </rPr>
      <t>2</t>
    </r>
  </si>
  <si>
    <r>
      <t>EH</t>
    </r>
    <r>
      <rPr>
        <vertAlign val="subscript"/>
        <sz val="9"/>
        <color theme="1"/>
        <rFont val="Arial Narrow"/>
        <family val="2"/>
      </rPr>
      <t>1</t>
    </r>
  </si>
  <si>
    <t>* Cargas que actúan</t>
  </si>
  <si>
    <t>→</t>
  </si>
  <si>
    <t>,</t>
  </si>
  <si>
    <r>
      <t>X</t>
    </r>
    <r>
      <rPr>
        <vertAlign val="subscript"/>
        <sz val="9"/>
        <color theme="1"/>
        <rFont val="Arial Narrow"/>
        <family val="2"/>
      </rPr>
      <t>A</t>
    </r>
    <r>
      <rPr>
        <sz val="9"/>
        <color theme="1"/>
        <rFont val="Arial Narrow"/>
        <family val="2"/>
      </rPr>
      <t xml:space="preserve"> </t>
    </r>
  </si>
  <si>
    <t>Losa de Acercamiento</t>
  </si>
  <si>
    <t>Altura equivalente de suelo por S/C</t>
  </si>
  <si>
    <t>h' =</t>
  </si>
  <si>
    <t>S/C por carga viva (LS)</t>
  </si>
  <si>
    <t>Carga muerta de la superestructura del puente:</t>
  </si>
  <si>
    <t>Cargas DW (peso de superficie de rodamiento)</t>
  </si>
  <si>
    <t>Cargas EV (presión vertical por carga muerta del terreno)</t>
  </si>
  <si>
    <t>Peso despecifico del Terreno</t>
  </si>
  <si>
    <t>𝛾t</t>
  </si>
  <si>
    <t>EV (kg/m)</t>
  </si>
  <si>
    <r>
      <t>X</t>
    </r>
    <r>
      <rPr>
        <b/>
        <vertAlign val="subscript"/>
        <sz val="9"/>
        <color theme="1"/>
        <rFont val="Arial Narrow"/>
        <family val="2"/>
      </rPr>
      <t xml:space="preserve">A </t>
    </r>
    <r>
      <rPr>
        <b/>
        <sz val="9"/>
        <color theme="1"/>
        <rFont val="Arial Narrow"/>
        <family val="2"/>
      </rPr>
      <t>* EV (kg-m/m)</t>
    </r>
  </si>
  <si>
    <r>
      <t>EV</t>
    </r>
    <r>
      <rPr>
        <vertAlign val="subscript"/>
        <sz val="9"/>
        <color theme="1"/>
        <rFont val="Arial Narrow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</si>
  <si>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>EV</t>
    </r>
    <r>
      <rPr>
        <vertAlign val="subscript"/>
        <sz val="9"/>
        <color theme="1"/>
        <rFont val="Arial Narrow"/>
        <family val="2"/>
      </rPr>
      <t>3</t>
    </r>
    <r>
      <rPr>
        <sz val="11"/>
        <color theme="1"/>
        <rFont val="Calibri"/>
        <family val="2"/>
        <scheme val="minor"/>
      </rPr>
      <t/>
    </r>
  </si>
  <si>
    <t>EV</t>
  </si>
  <si>
    <t>Cargas EH (presión lateral del terreno)</t>
  </si>
  <si>
    <t>Por</t>
  </si>
  <si>
    <t>m de terreno</t>
  </si>
  <si>
    <r>
      <t>h</t>
    </r>
    <r>
      <rPr>
        <vertAlign val="subscript"/>
        <sz val="9"/>
        <color theme="1"/>
        <rFont val="Arial Narrow"/>
        <family val="2"/>
      </rPr>
      <t>losa de transición</t>
    </r>
  </si>
  <si>
    <t>h'</t>
  </si>
  <si>
    <r>
      <t>(H-h</t>
    </r>
    <r>
      <rPr>
        <vertAlign val="subscript"/>
        <sz val="9"/>
        <color theme="1"/>
        <rFont val="Arial Narrow"/>
        <family val="2"/>
      </rPr>
      <t>losa de transición</t>
    </r>
    <r>
      <rPr>
        <sz val="9"/>
        <color theme="1"/>
        <rFont val="Arial Narrow"/>
        <family val="2"/>
      </rPr>
      <t>)</t>
    </r>
  </si>
  <si>
    <t>m de terreno:</t>
  </si>
  <si>
    <t>𝛅</t>
  </si>
  <si>
    <r>
      <t>EH</t>
    </r>
    <r>
      <rPr>
        <vertAlign val="subscript"/>
        <sz val="9"/>
        <color theme="1"/>
        <rFont val="Arial Narrow"/>
        <family val="2"/>
      </rPr>
      <t>1y</t>
    </r>
  </si>
  <si>
    <r>
      <t>EH</t>
    </r>
    <r>
      <rPr>
        <vertAlign val="subscript"/>
        <sz val="9"/>
        <color rgb="FF000000"/>
        <rFont val="Arial Narrow"/>
        <family val="2"/>
      </rPr>
      <t>1</t>
    </r>
  </si>
  <si>
    <r>
      <t>EH</t>
    </r>
    <r>
      <rPr>
        <vertAlign val="subscript"/>
        <sz val="9"/>
        <color theme="1"/>
        <rFont val="Arial Narrow"/>
        <family val="2"/>
      </rPr>
      <t>2y</t>
    </r>
  </si>
  <si>
    <r>
      <t>EH</t>
    </r>
    <r>
      <rPr>
        <vertAlign val="subscript"/>
        <sz val="9"/>
        <color rgb="FF000000"/>
        <rFont val="Arial Narrow"/>
        <family val="2"/>
      </rPr>
      <t>2</t>
    </r>
  </si>
  <si>
    <t>sen δ</t>
  </si>
  <si>
    <t>Por losa de acercamiento</t>
  </si>
  <si>
    <t>Cargas LL (carga viva de la superestructura de puente)</t>
  </si>
  <si>
    <t>Cargas LS (sobrecarga por carga viva en el terreno)</t>
  </si>
  <si>
    <t>Terreno equivalente extendido en</t>
  </si>
  <si>
    <t>m del estribo:</t>
  </si>
  <si>
    <t>Componente vertical de la sobrecarga por carga viva:</t>
  </si>
  <si>
    <r>
      <t>LS</t>
    </r>
    <r>
      <rPr>
        <vertAlign val="subscript"/>
        <sz val="9"/>
        <color theme="1"/>
        <rFont val="Arial Narrow"/>
        <family val="2"/>
      </rPr>
      <t>2y</t>
    </r>
  </si>
  <si>
    <r>
      <t>LS</t>
    </r>
    <r>
      <rPr>
        <vertAlign val="subscript"/>
        <sz val="9"/>
        <color rgb="FF000000"/>
        <rFont val="Arial Narrow"/>
        <family val="2"/>
      </rPr>
      <t>2</t>
    </r>
  </si>
  <si>
    <t>CARGA</t>
  </si>
  <si>
    <t>TIPO</t>
  </si>
  <si>
    <t>V (kg/m)</t>
  </si>
  <si>
    <r>
      <t>M</t>
    </r>
    <r>
      <rPr>
        <b/>
        <vertAlign val="subscript"/>
        <sz val="9"/>
        <color theme="1"/>
        <rFont val="Arial Narrow"/>
        <family val="2"/>
      </rPr>
      <t xml:space="preserve">V </t>
    </r>
    <r>
      <rPr>
        <b/>
        <sz val="9"/>
        <color theme="1"/>
        <rFont val="Arial Narrow"/>
        <family val="2"/>
      </rPr>
      <t>(kg-m/m)</t>
    </r>
  </si>
  <si>
    <t>DC</t>
  </si>
  <si>
    <t>DW</t>
  </si>
  <si>
    <t>EH</t>
  </si>
  <si>
    <t>LL</t>
  </si>
  <si>
    <t>LS</t>
  </si>
  <si>
    <t>C.2.</t>
  </si>
  <si>
    <t>CARGAS HORIZONTALES</t>
  </si>
  <si>
    <t>RESUMEN CARGAS VERTICALES</t>
  </si>
  <si>
    <r>
      <t>EH</t>
    </r>
    <r>
      <rPr>
        <vertAlign val="subscript"/>
        <sz val="9"/>
        <color theme="1"/>
        <rFont val="Arial Narrow"/>
        <family val="2"/>
      </rPr>
      <t>1X</t>
    </r>
  </si>
  <si>
    <t>cos δ</t>
  </si>
  <si>
    <t>Por losa de acercamiento:</t>
  </si>
  <si>
    <r>
      <t>EH</t>
    </r>
    <r>
      <rPr>
        <vertAlign val="subscript"/>
        <sz val="9"/>
        <color theme="1"/>
        <rFont val="Arial"/>
        <family val="2"/>
      </rPr>
      <t>2X</t>
    </r>
  </si>
  <si>
    <r>
      <t>EH</t>
    </r>
    <r>
      <rPr>
        <vertAlign val="subscript"/>
        <sz val="9"/>
        <color rgb="FF000000"/>
        <rFont val="Arial"/>
        <family val="2"/>
      </rPr>
      <t>2</t>
    </r>
  </si>
  <si>
    <t>Componente horizontal de la sobrecarga por carga viva:</t>
  </si>
  <si>
    <r>
      <t>LS</t>
    </r>
    <r>
      <rPr>
        <vertAlign val="subscript"/>
        <sz val="9"/>
        <color theme="1"/>
        <rFont val="Arial Narrow"/>
        <family val="2"/>
      </rPr>
      <t>2x</t>
    </r>
  </si>
  <si>
    <t>Cargas WS (viento sobre la estructura)</t>
  </si>
  <si>
    <t>Cargas BR (fuerza de frenado)</t>
  </si>
  <si>
    <t>Cargas CR, SH y TU (Deformación del concreto por carga sostenida en el tiempo, acortamiento por presforzado, y temperatura uniforme)</t>
  </si>
  <si>
    <t>CR + SH + TU</t>
  </si>
  <si>
    <r>
      <t>EH</t>
    </r>
    <r>
      <rPr>
        <vertAlign val="subscript"/>
        <sz val="9"/>
        <color theme="1"/>
        <rFont val="Arial Narrow"/>
        <family val="2"/>
      </rPr>
      <t>2X</t>
    </r>
  </si>
  <si>
    <r>
      <t>LS</t>
    </r>
    <r>
      <rPr>
        <vertAlign val="subscript"/>
        <sz val="9"/>
        <color theme="1"/>
        <rFont val="Arial Narrow"/>
        <family val="2"/>
      </rPr>
      <t>2X</t>
    </r>
  </si>
  <si>
    <t>H (kg/m)</t>
  </si>
  <si>
    <t>D.</t>
  </si>
  <si>
    <t>ESTADOS LÍMITES APLICABLES Y COMBINACIONES DE CARGAS</t>
  </si>
  <si>
    <t>RESUMEN CARGAS HORIZONTALES</t>
  </si>
  <si>
    <t>CARGAS VERTICALES= Y MINIMOS  = IA-IIIA</t>
  </si>
  <si>
    <t>CARGAS HORIZONTALES = γ MAXIMOS = IA-IIIA</t>
  </si>
  <si>
    <t>ESTADO LIMITE</t>
  </si>
  <si>
    <t>Aplicación</t>
  </si>
  <si>
    <t>Resitencia Ia</t>
  </si>
  <si>
    <t>Deslizamiento y vuelco</t>
  </si>
  <si>
    <t>Resitencia Ib</t>
  </si>
  <si>
    <t>Resitencia IIIa</t>
  </si>
  <si>
    <t>Resitencia IIIb</t>
  </si>
  <si>
    <t>Resistencia Ia</t>
  </si>
  <si>
    <t>Resistencia Ib</t>
  </si>
  <si>
    <t>Resistencia IIIa</t>
  </si>
  <si>
    <t>Resistencia IIIb</t>
  </si>
  <si>
    <r>
      <t>𝛾</t>
    </r>
    <r>
      <rPr>
        <vertAlign val="subscript"/>
        <sz val="12"/>
        <color theme="1"/>
        <rFont val="Arial Narrow"/>
        <family val="2"/>
      </rPr>
      <t>DC</t>
    </r>
  </si>
  <si>
    <r>
      <t>𝛾</t>
    </r>
    <r>
      <rPr>
        <vertAlign val="subscript"/>
        <sz val="12"/>
        <color theme="1"/>
        <rFont val="Arial Narrow"/>
        <family val="2"/>
      </rPr>
      <t>DW</t>
    </r>
  </si>
  <si>
    <r>
      <t>𝛾</t>
    </r>
    <r>
      <rPr>
        <vertAlign val="subscript"/>
        <sz val="12"/>
        <color theme="1"/>
        <rFont val="Arial Narrow"/>
        <family val="2"/>
      </rPr>
      <t>EV</t>
    </r>
  </si>
  <si>
    <r>
      <t>𝛾</t>
    </r>
    <r>
      <rPr>
        <vertAlign val="subscript"/>
        <sz val="12"/>
        <color theme="1"/>
        <rFont val="Arial Narrow"/>
        <family val="2"/>
      </rPr>
      <t>LL+IM</t>
    </r>
  </si>
  <si>
    <r>
      <t>𝛾</t>
    </r>
    <r>
      <rPr>
        <vertAlign val="subscript"/>
        <sz val="12"/>
        <color theme="1"/>
        <rFont val="Arial Narrow"/>
        <family val="2"/>
      </rPr>
      <t>LSY</t>
    </r>
  </si>
  <si>
    <r>
      <t>𝛾</t>
    </r>
    <r>
      <rPr>
        <vertAlign val="subscript"/>
        <sz val="12"/>
        <color theme="1"/>
        <rFont val="Arial Narrow"/>
        <family val="2"/>
      </rPr>
      <t>EH</t>
    </r>
  </si>
  <si>
    <r>
      <t>𝛾</t>
    </r>
    <r>
      <rPr>
        <vertAlign val="subscript"/>
        <sz val="12"/>
        <color theme="1"/>
        <rFont val="Arial Narrow"/>
        <family val="2"/>
      </rPr>
      <t>LSX</t>
    </r>
  </si>
  <si>
    <r>
      <t>𝛾</t>
    </r>
    <r>
      <rPr>
        <vertAlign val="subscript"/>
        <sz val="12"/>
        <color theme="1"/>
        <rFont val="Arial Narrow"/>
        <family val="2"/>
      </rPr>
      <t>WS</t>
    </r>
  </si>
  <si>
    <r>
      <t>𝛾</t>
    </r>
    <r>
      <rPr>
        <vertAlign val="subscript"/>
        <sz val="12"/>
        <color theme="1"/>
        <rFont val="Arial Narrow"/>
        <family val="2"/>
      </rPr>
      <t>BR</t>
    </r>
  </si>
  <si>
    <r>
      <t>𝛾</t>
    </r>
    <r>
      <rPr>
        <vertAlign val="subscript"/>
        <sz val="12"/>
        <color theme="1"/>
        <rFont val="Arial Narrow"/>
        <family val="2"/>
      </rPr>
      <t>CR+SH+TU</t>
    </r>
  </si>
  <si>
    <t>Presiones y resistencia</t>
  </si>
  <si>
    <t>ESTRIBO CON PUENTE</t>
  </si>
  <si>
    <t>LL+IM</t>
  </si>
  <si>
    <r>
      <t>DC</t>
    </r>
    <r>
      <rPr>
        <b/>
        <vertAlign val="subscript"/>
        <sz val="9"/>
        <color theme="1"/>
        <rFont val="Arial Narrow"/>
        <family val="2"/>
      </rPr>
      <t>estri</t>
    </r>
  </si>
  <si>
    <r>
      <t>DC</t>
    </r>
    <r>
      <rPr>
        <b/>
        <vertAlign val="subscript"/>
        <sz val="9"/>
        <color theme="1"/>
        <rFont val="Arial Narrow"/>
        <family val="2"/>
      </rPr>
      <t>losa</t>
    </r>
  </si>
  <si>
    <r>
      <t>EH</t>
    </r>
    <r>
      <rPr>
        <b/>
        <vertAlign val="subscript"/>
        <sz val="9"/>
        <color theme="1"/>
        <rFont val="Arial Narrow"/>
        <family val="2"/>
      </rPr>
      <t>1y</t>
    </r>
  </si>
  <si>
    <r>
      <t>EH</t>
    </r>
    <r>
      <rPr>
        <b/>
        <vertAlign val="subscript"/>
        <sz val="9"/>
        <color theme="1"/>
        <rFont val="Arial Narrow"/>
        <family val="2"/>
      </rPr>
      <t>2y</t>
    </r>
  </si>
  <si>
    <r>
      <t>P</t>
    </r>
    <r>
      <rPr>
        <b/>
        <vertAlign val="subscript"/>
        <sz val="9"/>
        <color theme="1"/>
        <rFont val="Arial Narrow"/>
        <family val="2"/>
      </rPr>
      <t>LL+IM</t>
    </r>
  </si>
  <si>
    <r>
      <t>LS</t>
    </r>
    <r>
      <rPr>
        <b/>
        <vertAlign val="subscript"/>
        <sz val="9"/>
        <color theme="1"/>
        <rFont val="Arial Narrow"/>
        <family val="2"/>
      </rPr>
      <t>1</t>
    </r>
  </si>
  <si>
    <r>
      <t>LS</t>
    </r>
    <r>
      <rPr>
        <b/>
        <vertAlign val="subscript"/>
        <sz val="9"/>
        <color theme="1"/>
        <rFont val="Arial Narrow"/>
        <family val="2"/>
      </rPr>
      <t>2y</t>
    </r>
  </si>
  <si>
    <r>
      <t>V</t>
    </r>
    <r>
      <rPr>
        <b/>
        <vertAlign val="subscript"/>
        <sz val="9"/>
        <color theme="1"/>
        <rFont val="Arial Narrow"/>
        <family val="2"/>
      </rPr>
      <t>U</t>
    </r>
  </si>
  <si>
    <t>∑</t>
  </si>
  <si>
    <r>
      <t>V</t>
    </r>
    <r>
      <rPr>
        <vertAlign val="subscript"/>
        <sz val="9"/>
        <color theme="1"/>
        <rFont val="Arial Narrow"/>
        <family val="2"/>
      </rPr>
      <t>U</t>
    </r>
  </si>
  <si>
    <t>𝛾=</t>
  </si>
  <si>
    <r>
      <t>CARGAS VERTICALES V</t>
    </r>
    <r>
      <rPr>
        <b/>
        <vertAlign val="subscript"/>
        <sz val="9"/>
        <color theme="1"/>
        <rFont val="Arial Narrow"/>
        <family val="2"/>
      </rPr>
      <t>U</t>
    </r>
  </si>
  <si>
    <r>
      <t>MOMENTO ESTABILIZADOR POR CARGAS VERTICALES M</t>
    </r>
    <r>
      <rPr>
        <b/>
        <vertAlign val="subscript"/>
        <sz val="9"/>
        <color theme="1"/>
        <rFont val="Arial Narrow"/>
        <family val="2"/>
      </rPr>
      <t>VU</t>
    </r>
  </si>
  <si>
    <r>
      <t>M</t>
    </r>
    <r>
      <rPr>
        <b/>
        <vertAlign val="subscript"/>
        <sz val="9"/>
        <color theme="1"/>
        <rFont val="Arial Narrow"/>
        <family val="2"/>
      </rPr>
      <t>Y</t>
    </r>
    <r>
      <rPr>
        <b/>
        <sz val="9"/>
        <color theme="1"/>
        <rFont val="Arial Narrow"/>
        <family val="2"/>
      </rPr>
      <t xml:space="preserve"> (kg/m)</t>
    </r>
  </si>
  <si>
    <r>
      <t>M</t>
    </r>
    <r>
      <rPr>
        <b/>
        <vertAlign val="subscript"/>
        <sz val="9"/>
        <color theme="1"/>
        <rFont val="Arial Narrow"/>
        <family val="2"/>
      </rPr>
      <t>VU</t>
    </r>
  </si>
  <si>
    <r>
      <t>CARGAS HORIZONTALES H</t>
    </r>
    <r>
      <rPr>
        <b/>
        <vertAlign val="subscript"/>
        <sz val="9"/>
        <color theme="1"/>
        <rFont val="Arial Narrow"/>
        <family val="2"/>
      </rPr>
      <t>U</t>
    </r>
  </si>
  <si>
    <r>
      <t>EH</t>
    </r>
    <r>
      <rPr>
        <b/>
        <vertAlign val="subscript"/>
        <sz val="9"/>
        <color theme="1"/>
        <rFont val="Arial Narrow"/>
        <family val="2"/>
      </rPr>
      <t>1x</t>
    </r>
  </si>
  <si>
    <r>
      <t>EH</t>
    </r>
    <r>
      <rPr>
        <b/>
        <vertAlign val="subscript"/>
        <sz val="9"/>
        <color theme="1"/>
        <rFont val="Arial Narrow"/>
        <family val="2"/>
      </rPr>
      <t>2x</t>
    </r>
  </si>
  <si>
    <r>
      <t>LS</t>
    </r>
    <r>
      <rPr>
        <b/>
        <vertAlign val="subscript"/>
        <sz val="9"/>
        <color theme="1"/>
        <rFont val="Arial Narrow"/>
        <family val="2"/>
      </rPr>
      <t>2x</t>
    </r>
  </si>
  <si>
    <r>
      <t>MOMENTO DE VUELCO POR CARGAS HORIZONTALES M</t>
    </r>
    <r>
      <rPr>
        <b/>
        <vertAlign val="subscript"/>
        <sz val="9"/>
        <color theme="1"/>
        <rFont val="Arial Narrow"/>
        <family val="2"/>
      </rPr>
      <t>HU</t>
    </r>
  </si>
  <si>
    <r>
      <t>H</t>
    </r>
    <r>
      <rPr>
        <b/>
        <vertAlign val="subscript"/>
        <sz val="9"/>
        <color theme="1"/>
        <rFont val="Arial Narrow"/>
        <family val="2"/>
      </rPr>
      <t>U</t>
    </r>
  </si>
  <si>
    <r>
      <t>M</t>
    </r>
    <r>
      <rPr>
        <b/>
        <vertAlign val="subscript"/>
        <sz val="9"/>
        <color theme="1"/>
        <rFont val="Arial Narrow"/>
        <family val="2"/>
      </rPr>
      <t>HU</t>
    </r>
  </si>
  <si>
    <r>
      <t>M</t>
    </r>
    <r>
      <rPr>
        <b/>
        <vertAlign val="subscript"/>
        <sz val="9"/>
        <color theme="1"/>
        <rFont val="Arial Narrow"/>
        <family val="2"/>
      </rPr>
      <t>H</t>
    </r>
    <r>
      <rPr>
        <b/>
        <sz val="9"/>
        <color theme="1"/>
        <rFont val="Arial Narrow"/>
        <family val="2"/>
      </rPr>
      <t xml:space="preserve"> (kg/m)</t>
    </r>
  </si>
  <si>
    <t>E.</t>
  </si>
  <si>
    <t>CHEQUEO DE ESTABILIDAD Y ESFUERZOS</t>
  </si>
  <si>
    <t>B =</t>
  </si>
  <si>
    <t>e</t>
  </si>
  <si>
    <t>e =</t>
  </si>
  <si>
    <r>
      <t>B/2-x</t>
    </r>
    <r>
      <rPr>
        <vertAlign val="subscript"/>
        <sz val="9"/>
        <color theme="1"/>
        <rFont val="Arial Narrow"/>
        <family val="2"/>
      </rPr>
      <t>0</t>
    </r>
  </si>
  <si>
    <r>
      <t>X</t>
    </r>
    <r>
      <rPr>
        <vertAlign val="subscript"/>
        <sz val="9"/>
        <color theme="1"/>
        <rFont val="Arial Narrow"/>
        <family val="2"/>
      </rPr>
      <t>0</t>
    </r>
  </si>
  <si>
    <t>Fundacion en suelo</t>
  </si>
  <si>
    <t>≤</t>
  </si>
  <si>
    <t>B /3</t>
  </si>
  <si>
    <t>0.45B</t>
  </si>
  <si>
    <t>Estable si:</t>
  </si>
  <si>
    <t>Fundacion en suelo rocoso</t>
  </si>
  <si>
    <r>
      <t>M</t>
    </r>
    <r>
      <rPr>
        <vertAlign val="subscript"/>
        <sz val="9"/>
        <color theme="1"/>
        <rFont val="Arial Narrow"/>
        <family val="2"/>
      </rPr>
      <t>VU</t>
    </r>
  </si>
  <si>
    <r>
      <t>M</t>
    </r>
    <r>
      <rPr>
        <vertAlign val="subscript"/>
        <sz val="9"/>
        <color theme="1"/>
        <rFont val="Arial Narrow"/>
        <family val="2"/>
      </rPr>
      <t>HU</t>
    </r>
  </si>
  <si>
    <t>ESTADO</t>
  </si>
  <si>
    <t>(Kg/m)</t>
  </si>
  <si>
    <t>(Kg-m/m)</t>
  </si>
  <si>
    <t>a)</t>
  </si>
  <si>
    <t>Vuelco alrededor del punto "A"</t>
  </si>
  <si>
    <t>b)</t>
  </si>
  <si>
    <t xml:space="preserve">Deslizamiento en base del estribo </t>
  </si>
  <si>
    <t>MTC (pág. 133)</t>
  </si>
  <si>
    <t>MTC (pág. 134)</t>
  </si>
  <si>
    <r>
      <t>F</t>
    </r>
    <r>
      <rPr>
        <vertAlign val="subscript"/>
        <sz val="9"/>
        <rFont val="Arial Narrow"/>
        <family val="2"/>
      </rPr>
      <t>f</t>
    </r>
  </si>
  <si>
    <r>
      <t>H</t>
    </r>
    <r>
      <rPr>
        <vertAlign val="subscript"/>
        <sz val="9"/>
        <rFont val="Arial Narrow"/>
        <family val="2"/>
      </rPr>
      <t>U</t>
    </r>
  </si>
  <si>
    <r>
      <t>μ(Ø</t>
    </r>
    <r>
      <rPr>
        <vertAlign val="subscript"/>
        <sz val="11"/>
        <color theme="1"/>
        <rFont val="Calibri"/>
        <family val="2"/>
      </rPr>
      <t>τ</t>
    </r>
    <r>
      <rPr>
        <sz val="11"/>
        <color theme="1"/>
        <rFont val="Calibri"/>
        <family val="2"/>
      </rPr>
      <t>V</t>
    </r>
    <r>
      <rPr>
        <vertAlign val="subscript"/>
        <sz val="11"/>
        <color theme="1"/>
        <rFont val="Calibri"/>
        <family val="2"/>
      </rPr>
      <t>u</t>
    </r>
    <r>
      <rPr>
        <sz val="11"/>
        <color theme="1"/>
        <rFont val="Calibri"/>
        <family val="2"/>
      </rPr>
      <t>)</t>
    </r>
  </si>
  <si>
    <t>Estribo sometido a fuerzas de deslizamiento</t>
  </si>
  <si>
    <t>μ</t>
  </si>
  <si>
    <t>(tabla 11.5.7-1)</t>
  </si>
  <si>
    <t>Con:</t>
  </si>
  <si>
    <t>tan δ</t>
  </si>
  <si>
    <r>
      <t>Ø</t>
    </r>
    <r>
      <rPr>
        <vertAlign val="subscript"/>
        <sz val="9"/>
        <color theme="1"/>
        <rFont val="Arial Narrow"/>
        <family val="2"/>
      </rPr>
      <t>τ</t>
    </r>
  </si>
  <si>
    <t>ACTUANTE (kg/m)</t>
  </si>
  <si>
    <t>RESISTENTE (kg/m)</t>
  </si>
  <si>
    <r>
      <t>V</t>
    </r>
    <r>
      <rPr>
        <b/>
        <vertAlign val="subscript"/>
        <sz val="9"/>
        <color theme="1"/>
        <rFont val="Arial Narrow"/>
        <family val="2"/>
      </rPr>
      <t>u</t>
    </r>
  </si>
  <si>
    <t>c)</t>
  </si>
  <si>
    <t xml:space="preserve">Presiones actuantes en la base del estribo </t>
  </si>
  <si>
    <t>≥</t>
  </si>
  <si>
    <r>
      <t>q</t>
    </r>
    <r>
      <rPr>
        <vertAlign val="subscript"/>
        <sz val="9"/>
        <color theme="1"/>
        <rFont val="Arial Narrow"/>
        <family val="2"/>
      </rPr>
      <t>máx</t>
    </r>
  </si>
  <si>
    <t>Fundación en roca</t>
  </si>
  <si>
    <t>Fundación en suelo</t>
  </si>
  <si>
    <t>Fundacion en roca</t>
  </si>
  <si>
    <t>Presiones en la base del estribo</t>
  </si>
  <si>
    <r>
      <t>M</t>
    </r>
    <r>
      <rPr>
        <b/>
        <vertAlign val="subscript"/>
        <sz val="9"/>
        <color theme="1"/>
        <rFont val="Arial Narrow"/>
        <family val="2"/>
      </rPr>
      <t>vu</t>
    </r>
  </si>
  <si>
    <r>
      <t>M</t>
    </r>
    <r>
      <rPr>
        <b/>
        <vertAlign val="subscript"/>
        <sz val="9"/>
        <color theme="1"/>
        <rFont val="Arial Narrow"/>
        <family val="2"/>
      </rPr>
      <t>hu</t>
    </r>
  </si>
  <si>
    <r>
      <t>q</t>
    </r>
    <r>
      <rPr>
        <b/>
        <vertAlign val="subscript"/>
        <sz val="9"/>
        <color theme="1"/>
        <rFont val="Arial Narrow"/>
        <family val="2"/>
      </rPr>
      <t>R</t>
    </r>
  </si>
  <si>
    <r>
      <t>(Kg/cm</t>
    </r>
    <r>
      <rPr>
        <b/>
        <vertAlign val="superscript"/>
        <sz val="9"/>
        <color theme="1"/>
        <rFont val="Arial Narrow"/>
        <family val="2"/>
      </rPr>
      <t>2</t>
    </r>
    <r>
      <rPr>
        <b/>
        <sz val="9"/>
        <color theme="1"/>
        <rFont val="Arial Narrow"/>
        <family val="2"/>
      </rPr>
      <t>)</t>
    </r>
  </si>
  <si>
    <t xml:space="preserve">Nota: </t>
  </si>
  <si>
    <t>Cuando la excentricidad en negativa, usar el ancho real B en el cálculo de presiones.</t>
  </si>
  <si>
    <t>B - 2e</t>
  </si>
  <si>
    <t>q</t>
  </si>
  <si>
    <t>CASO II: ESTRIBO SIN PUENTE</t>
  </si>
  <si>
    <t>Estados límites aplicables y combinaciones de cargas</t>
  </si>
  <si>
    <t>ESTRIBO SIN PUENTE - CARGAS VERTICALES</t>
  </si>
  <si>
    <t>ESTRIBO SIN PUENTE - CARGAS HORIZONTALES</t>
  </si>
  <si>
    <t>El estado límite de Resistencia Ia no es satisfactorio por lo que colocamos un diente de  concreto de sección 0.30mx0.30m. en la base tal como se muestra en la figura; consideramos además la resistencia pasiva del suelo sólo en el ámbito del diente.</t>
  </si>
  <si>
    <r>
      <t>R</t>
    </r>
    <r>
      <rPr>
        <vertAlign val="subscript"/>
        <sz val="9"/>
        <color theme="1"/>
        <rFont val="Arial Narrow"/>
        <family val="2"/>
      </rPr>
      <t>ep</t>
    </r>
    <r>
      <rPr>
        <sz val="9"/>
        <color theme="1"/>
        <rFont val="Arial Narrow"/>
        <family val="2"/>
      </rPr>
      <t xml:space="preserve"> =</t>
    </r>
  </si>
  <si>
    <t>De la Figura 3.11.5.4-1:</t>
  </si>
  <si>
    <r>
      <t xml:space="preserve"> (con Ø</t>
    </r>
    <r>
      <rPr>
        <vertAlign val="subscript"/>
        <sz val="9"/>
        <color theme="1"/>
        <rFont val="Arial Narrow"/>
        <family val="2"/>
      </rPr>
      <t>f</t>
    </r>
    <r>
      <rPr>
        <sz val="9"/>
        <color theme="1"/>
        <rFont val="Arial Narrow"/>
        <family val="2"/>
      </rPr>
      <t>=30° y Ө=90°)</t>
    </r>
  </si>
  <si>
    <t>Así mismo el factor de reducción hallado es R =</t>
  </si>
  <si>
    <t>Luego:</t>
  </si>
  <si>
    <t xml:space="preserve">El coeficiente de empuje pasivo es k'p = </t>
  </si>
  <si>
    <r>
      <t>K</t>
    </r>
    <r>
      <rPr>
        <vertAlign val="subscript"/>
        <sz val="9"/>
        <color theme="1"/>
        <rFont val="Arial Narrow"/>
        <family val="2"/>
      </rPr>
      <t>p</t>
    </r>
    <r>
      <rPr>
        <sz val="9"/>
        <color theme="1"/>
        <rFont val="Arial Narrow"/>
        <family val="2"/>
      </rPr>
      <t xml:space="preserve"> = R * K'</t>
    </r>
    <r>
      <rPr>
        <vertAlign val="subscript"/>
        <sz val="9"/>
        <color theme="1"/>
        <rFont val="Arial Narrow"/>
        <family val="2"/>
      </rPr>
      <t>p</t>
    </r>
  </si>
  <si>
    <r>
      <t>K</t>
    </r>
    <r>
      <rPr>
        <vertAlign val="subscript"/>
        <sz val="9"/>
        <color theme="1"/>
        <rFont val="Arial Narrow"/>
        <family val="2"/>
      </rPr>
      <t>p</t>
    </r>
    <r>
      <rPr>
        <sz val="9"/>
        <color theme="1"/>
        <rFont val="Arial Narrow"/>
        <family val="2"/>
      </rPr>
      <t xml:space="preserve"> </t>
    </r>
  </si>
  <si>
    <t>La resistencia pasiva es:</t>
  </si>
  <si>
    <r>
      <t>R</t>
    </r>
    <r>
      <rPr>
        <vertAlign val="subscript"/>
        <sz val="9"/>
        <color theme="1"/>
        <rFont val="Arial Narrow"/>
        <family val="2"/>
      </rPr>
      <t>ep</t>
    </r>
  </si>
  <si>
    <t>kg</t>
  </si>
  <si>
    <t>Para el estado límite de Resistencia Ia, agregando el diente de concreto se tiene:</t>
  </si>
  <si>
    <r>
      <t>R</t>
    </r>
    <r>
      <rPr>
        <vertAlign val="subscript"/>
        <sz val="9"/>
        <color theme="1"/>
        <rFont val="Arial Narrow"/>
        <family val="2"/>
      </rPr>
      <t xml:space="preserve">R </t>
    </r>
    <r>
      <rPr>
        <sz val="9"/>
        <color theme="1"/>
        <rFont val="Arial Narrow"/>
        <family val="2"/>
      </rPr>
      <t>= Ø</t>
    </r>
    <r>
      <rPr>
        <vertAlign val="subscript"/>
        <sz val="9"/>
        <color theme="1"/>
        <rFont val="Calibri"/>
        <family val="2"/>
      </rPr>
      <t>τ</t>
    </r>
    <r>
      <rPr>
        <sz val="9"/>
        <color theme="1"/>
        <rFont val="Arial Narrow"/>
        <family val="2"/>
      </rPr>
      <t>R</t>
    </r>
    <r>
      <rPr>
        <vertAlign val="subscript"/>
        <sz val="9"/>
        <color theme="1"/>
        <rFont val="Calibri"/>
        <family val="2"/>
      </rPr>
      <t>τ</t>
    </r>
    <r>
      <rPr>
        <sz val="9"/>
        <color theme="1"/>
        <rFont val="Arial Narrow"/>
        <family val="2"/>
      </rPr>
      <t>+ Ø</t>
    </r>
    <r>
      <rPr>
        <vertAlign val="subscript"/>
        <sz val="9"/>
        <color theme="1"/>
        <rFont val="Arial Narrow"/>
        <family val="2"/>
      </rPr>
      <t>ep</t>
    </r>
    <r>
      <rPr>
        <sz val="9"/>
        <color theme="1"/>
        <rFont val="Arial Narrow"/>
        <family val="2"/>
      </rPr>
      <t>R</t>
    </r>
    <r>
      <rPr>
        <vertAlign val="subscript"/>
        <sz val="9"/>
        <color theme="1"/>
        <rFont val="Arial Narrow"/>
        <family val="2"/>
      </rPr>
      <t>ep</t>
    </r>
  </si>
  <si>
    <r>
      <t>Ø</t>
    </r>
    <r>
      <rPr>
        <vertAlign val="subscript"/>
        <sz val="9"/>
        <color theme="1"/>
        <rFont val="Calibri"/>
        <family val="2"/>
      </rPr>
      <t>τ</t>
    </r>
    <r>
      <rPr>
        <sz val="9"/>
        <color theme="1"/>
        <rFont val="Arial Narrow"/>
        <family val="2"/>
      </rPr>
      <t>R</t>
    </r>
    <r>
      <rPr>
        <vertAlign val="subscript"/>
        <sz val="9"/>
        <color theme="1"/>
        <rFont val="Calibri"/>
        <family val="2"/>
      </rPr>
      <t>τ</t>
    </r>
  </si>
  <si>
    <r>
      <t>Ø</t>
    </r>
    <r>
      <rPr>
        <vertAlign val="subscript"/>
        <sz val="9"/>
        <color theme="1"/>
        <rFont val="Arial Narrow"/>
        <family val="2"/>
      </rPr>
      <t>ep</t>
    </r>
  </si>
  <si>
    <t>(Tabla 10.5.5.2.2-1)</t>
  </si>
  <si>
    <r>
      <t>R</t>
    </r>
    <r>
      <rPr>
        <vertAlign val="subscript"/>
        <sz val="9"/>
        <color theme="1"/>
        <rFont val="Arial Narrow"/>
        <family val="2"/>
      </rPr>
      <t xml:space="preserve">R </t>
    </r>
  </si>
  <si>
    <t xml:space="preserve">Pag. 242 </t>
  </si>
  <si>
    <t>&lt;&lt;</t>
  </si>
  <si>
    <t>&lt;</t>
  </si>
  <si>
    <t>Tierra humeda</t>
  </si>
  <si>
    <t>DATOS DE ESTUDIO DE MANICA DE SUELOS</t>
  </si>
  <si>
    <t>Z Sis.</t>
  </si>
  <si>
    <t>PESO DE LA ACERA</t>
  </si>
  <si>
    <t>PESO DE LA BARANDA</t>
  </si>
  <si>
    <r>
      <t>P</t>
    </r>
    <r>
      <rPr>
        <b/>
        <vertAlign val="subscript"/>
        <sz val="9"/>
        <color theme="1"/>
        <rFont val="Arial Narrow"/>
        <family val="2"/>
      </rPr>
      <t>A</t>
    </r>
  </si>
  <si>
    <r>
      <t>P</t>
    </r>
    <r>
      <rPr>
        <b/>
        <vertAlign val="subscript"/>
        <sz val="9"/>
        <color theme="1"/>
        <rFont val="Arial Narrow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</si>
</sst>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\ &quot;°&quot;"/>
    <numFmt numFmtId="165" formatCode="0.0000"/>
    <numFmt numFmtId="166" formatCode="0.00\ &quot;m&quot;"/>
    <numFmt numFmtId="167" formatCode="General\ &quot;kg/m&quot;"/>
    <numFmt numFmtId="168" formatCode="General\ &quot;kg/m³&quot;"/>
    <numFmt numFmtId="169" formatCode="0.00\ &quot;°&quot;"/>
    <numFmt numFmtId="170" formatCode="&quot;≥&quot;\ 0.00"/>
    <numFmt numFmtId="171" formatCode="0.0\ &quot;kg/m&quot;"/>
    <numFmt numFmtId="172" formatCode="0.00\ &quot;kg/m&quot;"/>
    <numFmt numFmtId="173" formatCode="0.0"/>
    <numFmt numFmtId="174" formatCode="0.000"/>
  </numFmts>
  <fonts count="52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theme="1"/>
      <name val="Calibri"/>
      <family val="2"/>
    </font>
    <font>
      <sz val="11"/>
      <color theme="1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 Narrow"/>
      <family val="2"/>
    </font>
    <font>
      <b/>
      <sz val="9"/>
      <color rgb="FF0070C0"/>
      <name val="Arial Narrow"/>
      <family val="2"/>
    </font>
    <font>
      <b/>
      <sz val="9"/>
      <name val="Arial Narrow"/>
      <family val="2"/>
    </font>
    <font>
      <b/>
      <vertAlign val="subscript"/>
      <sz val="9"/>
      <color theme="1"/>
      <name val="Arial Narrow"/>
      <family val="2"/>
    </font>
    <font>
      <sz val="8.65"/>
      <color theme="1"/>
      <name val="Arial Narrow"/>
      <family val="2"/>
    </font>
    <font>
      <b/>
      <sz val="9"/>
      <color rgb="FF92D050"/>
      <name val="Arial Narrow"/>
      <family val="2"/>
    </font>
    <font>
      <b/>
      <sz val="10"/>
      <name val="Arial Narrow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9"/>
      <color theme="1"/>
      <name val="Calibri (Cuerpo)"/>
    </font>
    <font>
      <vertAlign val="subscript"/>
      <sz val="9"/>
      <color theme="1"/>
      <name val="Calibri (Cuerpo)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 (Cuerpo)"/>
    </font>
    <font>
      <b/>
      <i/>
      <sz val="9"/>
      <name val="Arial Narrow"/>
      <family val="2"/>
    </font>
    <font>
      <sz val="9"/>
      <color theme="4"/>
      <name val="Arial Narrow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color theme="1"/>
      <name val="Calibri (Cuerpo)"/>
    </font>
    <font>
      <b/>
      <u/>
      <sz val="9"/>
      <color theme="1"/>
      <name val="Arial Narrow"/>
      <family val="2"/>
    </font>
    <font>
      <b/>
      <u/>
      <sz val="9"/>
      <color rgb="FF92D050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b/>
      <sz val="9"/>
      <color rgb="FFC00000"/>
      <name val="Arial Narrow"/>
      <family val="2"/>
    </font>
    <font>
      <u/>
      <sz val="9"/>
      <color theme="1"/>
      <name val="Arial Narrow"/>
      <family val="2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sz val="9"/>
      <color rgb="FF000000"/>
      <name val="Arial"/>
      <family val="2"/>
    </font>
    <font>
      <vertAlign val="subscript"/>
      <sz val="9"/>
      <color rgb="FF000000"/>
      <name val="Arial"/>
      <family val="2"/>
    </font>
    <font>
      <b/>
      <sz val="9"/>
      <color theme="4"/>
      <name val="Arial Narrow"/>
      <family val="2"/>
    </font>
    <font>
      <sz val="12"/>
      <color theme="1"/>
      <name val="Arial Narrow"/>
      <family val="2"/>
    </font>
    <font>
      <vertAlign val="subscript"/>
      <sz val="12"/>
      <color theme="1"/>
      <name val="Arial Narrow"/>
      <family val="2"/>
    </font>
    <font>
      <sz val="9"/>
      <name val="Arial Narrow"/>
      <family val="2"/>
    </font>
    <font>
      <vertAlign val="subscript"/>
      <sz val="9"/>
      <name val="Arial Narrow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9"/>
      <color theme="1"/>
      <name val="Calibri"/>
      <family val="2"/>
    </font>
    <font>
      <sz val="9"/>
      <color theme="5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theme="1"/>
      <name val="Arial Narrow"/>
      <family val="2"/>
    </font>
    <font>
      <b/>
      <sz val="10"/>
      <color theme="4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45" fillId="4" borderId="21" xfId="0" applyFont="1" applyFill="1" applyBorder="1" applyAlignment="1"/>
    <xf numFmtId="0" fontId="1" fillId="5" borderId="0" xfId="0" applyFont="1" applyFill="1" applyAlignment="1">
      <alignment horizontal="center" vertical="center"/>
    </xf>
    <xf numFmtId="0" fontId="1" fillId="5" borderId="0" xfId="0" quotePrefix="1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5" xfId="0" quotePrefix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0" xfId="0" applyFont="1" applyFill="1"/>
    <xf numFmtId="0" fontId="9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top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 wrapText="1"/>
    </xf>
    <xf numFmtId="0" fontId="1" fillId="5" borderId="0" xfId="0" applyNumberFormat="1" applyFont="1" applyFill="1" applyAlignment="1">
      <alignment horizontal="center" vertical="center"/>
    </xf>
    <xf numFmtId="0" fontId="1" fillId="5" borderId="0" xfId="0" quotePrefix="1" applyFont="1" applyFill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6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6" fontId="1" fillId="5" borderId="0" xfId="0" applyNumberFormat="1" applyFont="1" applyFill="1" applyAlignment="1">
      <alignment horizontal="center" vertical="center"/>
    </xf>
    <xf numFmtId="2" fontId="12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2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wrapText="1"/>
    </xf>
    <xf numFmtId="0" fontId="1" fillId="5" borderId="0" xfId="0" quotePrefix="1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6" fontId="1" fillId="5" borderId="0" xfId="0" applyNumberFormat="1" applyFont="1" applyFill="1" applyAlignment="1">
      <alignment vertical="center"/>
    </xf>
    <xf numFmtId="0" fontId="1" fillId="5" borderId="0" xfId="0" applyFont="1" applyFill="1" applyAlignment="1"/>
    <xf numFmtId="0" fontId="24" fillId="5" borderId="0" xfId="0" applyFont="1" applyFill="1" applyAlignment="1"/>
    <xf numFmtId="0" fontId="1" fillId="5" borderId="0" xfId="0" applyFont="1" applyFill="1" applyAlignment="1">
      <alignment horizontal="right"/>
    </xf>
    <xf numFmtId="168" fontId="1" fillId="5" borderId="0" xfId="0" applyNumberFormat="1" applyFont="1" applyFill="1" applyAlignment="1">
      <alignment vertical="center"/>
    </xf>
    <xf numFmtId="2" fontId="1" fillId="5" borderId="0" xfId="0" applyNumberFormat="1" applyFont="1" applyFill="1" applyAlignment="1">
      <alignment horizontal="right" vertical="center"/>
    </xf>
    <xf numFmtId="2" fontId="1" fillId="6" borderId="5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49" fillId="5" borderId="0" xfId="0" applyFont="1" applyFill="1"/>
    <xf numFmtId="0" fontId="0" fillId="5" borderId="0" xfId="0" applyFill="1"/>
    <xf numFmtId="0" fontId="1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4" fillId="5" borderId="0" xfId="0" applyFont="1" applyFill="1"/>
    <xf numFmtId="164" fontId="0" fillId="5" borderId="0" xfId="0" applyNumberFormat="1" applyFill="1" applyAlignment="1"/>
    <xf numFmtId="0" fontId="0" fillId="5" borderId="0" xfId="0" applyFill="1" applyAlignment="1"/>
    <xf numFmtId="0" fontId="3" fillId="5" borderId="0" xfId="0" applyFont="1" applyFill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6" fillId="5" borderId="0" xfId="0" applyFont="1" applyFill="1" applyAlignment="1"/>
    <xf numFmtId="164" fontId="18" fillId="5" borderId="15" xfId="0" applyNumberFormat="1" applyFont="1" applyFill="1" applyBorder="1" applyAlignment="1"/>
    <xf numFmtId="0" fontId="18" fillId="5" borderId="15" xfId="0" applyFont="1" applyFill="1" applyBorder="1" applyAlignment="1"/>
    <xf numFmtId="0" fontId="16" fillId="5" borderId="0" xfId="0" applyFont="1" applyFill="1" applyAlignment="1">
      <alignment horizontal="center"/>
    </xf>
    <xf numFmtId="0" fontId="18" fillId="5" borderId="16" xfId="0" applyFont="1" applyFill="1" applyBorder="1" applyAlignment="1">
      <alignment horizontal="center"/>
    </xf>
    <xf numFmtId="0" fontId="16" fillId="5" borderId="16" xfId="0" applyFont="1" applyFill="1" applyBorder="1" applyAlignment="1"/>
    <xf numFmtId="164" fontId="16" fillId="5" borderId="16" xfId="0" applyNumberFormat="1" applyFont="1" applyFill="1" applyBorder="1" applyAlignment="1"/>
    <xf numFmtId="0" fontId="4" fillId="5" borderId="0" xfId="0" applyFont="1" applyFill="1" applyAlignment="1">
      <alignment horizontal="center" vertical="center"/>
    </xf>
    <xf numFmtId="165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47" fillId="5" borderId="0" xfId="0" applyFont="1" applyFill="1" applyAlignment="1">
      <alignment horizontal="center" vertical="center"/>
    </xf>
    <xf numFmtId="0" fontId="47" fillId="5" borderId="0" xfId="0" applyFont="1" applyFill="1"/>
    <xf numFmtId="0" fontId="14" fillId="6" borderId="2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left" vertical="center"/>
    </xf>
    <xf numFmtId="172" fontId="1" fillId="5" borderId="0" xfId="0" applyNumberFormat="1" applyFont="1" applyFill="1" applyAlignment="1"/>
    <xf numFmtId="0" fontId="26" fillId="5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171" fontId="4" fillId="5" borderId="0" xfId="0" applyNumberFormat="1" applyFont="1" applyFill="1" applyAlignment="1"/>
    <xf numFmtId="172" fontId="4" fillId="5" borderId="0" xfId="0" applyNumberFormat="1" applyFont="1" applyFill="1" applyAlignment="1"/>
    <xf numFmtId="172" fontId="28" fillId="5" borderId="0" xfId="0" applyNumberFormat="1" applyFont="1" applyFill="1" applyAlignment="1"/>
    <xf numFmtId="173" fontId="1" fillId="5" borderId="0" xfId="0" applyNumberFormat="1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 vertical="center" wrapText="1"/>
    </xf>
    <xf numFmtId="0" fontId="28" fillId="5" borderId="0" xfId="0" quotePrefix="1" applyFont="1" applyFill="1" applyAlignment="1">
      <alignment horizontal="center" vertical="center"/>
    </xf>
    <xf numFmtId="171" fontId="1" fillId="5" borderId="0" xfId="0" applyNumberFormat="1" applyFont="1" applyFill="1" applyAlignment="1"/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vertical="center" wrapText="1"/>
    </xf>
    <xf numFmtId="0" fontId="25" fillId="5" borderId="0" xfId="0" applyFont="1" applyFill="1" applyAlignment="1">
      <alignment horizontal="left" vertical="top"/>
    </xf>
    <xf numFmtId="0" fontId="9" fillId="5" borderId="0" xfId="0" applyFont="1" applyFill="1" applyAlignment="1">
      <alignment horizontal="center" vertical="center"/>
    </xf>
    <xf numFmtId="0" fontId="37" fillId="2" borderId="21" xfId="0" applyFont="1" applyFill="1" applyBorder="1" applyAlignment="1">
      <alignment vertical="center"/>
    </xf>
    <xf numFmtId="0" fontId="37" fillId="2" borderId="38" xfId="0" applyFont="1" applyFill="1" applyBorder="1" applyAlignment="1">
      <alignment vertical="center"/>
    </xf>
    <xf numFmtId="0" fontId="37" fillId="2" borderId="6" xfId="0" applyFont="1" applyFill="1" applyBorder="1" applyAlignment="1">
      <alignment vertical="center"/>
    </xf>
    <xf numFmtId="0" fontId="9" fillId="5" borderId="0" xfId="0" applyFont="1" applyFill="1" applyBorder="1"/>
    <xf numFmtId="0" fontId="36" fillId="5" borderId="0" xfId="0" applyFont="1" applyFill="1" applyAlignment="1">
      <alignment horizontal="center" vertical="center"/>
    </xf>
    <xf numFmtId="0" fontId="39" fillId="5" borderId="7" xfId="0" applyFont="1" applyFill="1" applyBorder="1" applyAlignment="1"/>
    <xf numFmtId="0" fontId="39" fillId="5" borderId="8" xfId="0" applyFont="1" applyFill="1" applyBorder="1" applyAlignment="1"/>
    <xf numFmtId="0" fontId="1" fillId="5" borderId="9" xfId="0" applyFont="1" applyFill="1" applyBorder="1"/>
    <xf numFmtId="167" fontId="1" fillId="5" borderId="0" xfId="0" applyNumberFormat="1" applyFont="1" applyFill="1" applyAlignment="1">
      <alignment vertical="center"/>
    </xf>
    <xf numFmtId="0" fontId="39" fillId="5" borderId="10" xfId="0" applyFont="1" applyFill="1" applyBorder="1"/>
    <xf numFmtId="0" fontId="39" fillId="5" borderId="0" xfId="0" applyFont="1" applyFill="1" applyBorder="1"/>
    <xf numFmtId="0" fontId="39" fillId="5" borderId="0" xfId="0" applyFont="1" applyFill="1" applyBorder="1" applyAlignment="1"/>
    <xf numFmtId="0" fontId="1" fillId="5" borderId="11" xfId="0" applyFont="1" applyFill="1" applyBorder="1"/>
    <xf numFmtId="0" fontId="39" fillId="5" borderId="12" xfId="0" applyFont="1" applyFill="1" applyBorder="1"/>
    <xf numFmtId="0" fontId="39" fillId="5" borderId="13" xfId="0" applyFont="1" applyFill="1" applyBorder="1"/>
    <xf numFmtId="0" fontId="39" fillId="5" borderId="13" xfId="0" applyFont="1" applyFill="1" applyBorder="1" applyAlignment="1"/>
    <xf numFmtId="0" fontId="1" fillId="5" borderId="14" xfId="0" applyFont="1" applyFill="1" applyBorder="1"/>
    <xf numFmtId="169" fontId="1" fillId="5" borderId="0" xfId="0" applyNumberFormat="1" applyFont="1" applyFill="1" applyAlignment="1">
      <alignment vertical="center"/>
    </xf>
    <xf numFmtId="0" fontId="50" fillId="5" borderId="0" xfId="0" applyFont="1" applyFill="1"/>
    <xf numFmtId="0" fontId="39" fillId="5" borderId="9" xfId="0" applyFont="1" applyFill="1" applyBorder="1" applyAlignment="1"/>
    <xf numFmtId="0" fontId="39" fillId="5" borderId="14" xfId="0" applyFont="1" applyFill="1" applyBorder="1" applyAlignment="1"/>
    <xf numFmtId="166" fontId="1" fillId="5" borderId="0" xfId="0" quotePrefix="1" applyNumberFormat="1" applyFont="1" applyFill="1" applyAlignment="1">
      <alignment vertical="center"/>
    </xf>
    <xf numFmtId="166" fontId="41" fillId="5" borderId="0" xfId="0" applyNumberFormat="1" applyFont="1" applyFill="1" applyAlignment="1">
      <alignment vertical="center"/>
    </xf>
    <xf numFmtId="0" fontId="18" fillId="5" borderId="0" xfId="0" applyFont="1" applyFill="1" applyAlignment="1">
      <alignment horizontal="center" vertical="center"/>
    </xf>
    <xf numFmtId="164" fontId="18" fillId="5" borderId="0" xfId="0" applyNumberFormat="1" applyFont="1" applyFill="1" applyAlignment="1">
      <alignment horizontal="center" vertical="center"/>
    </xf>
    <xf numFmtId="2" fontId="0" fillId="5" borderId="0" xfId="0" applyNumberFormat="1" applyFill="1" applyAlignment="1"/>
    <xf numFmtId="0" fontId="18" fillId="5" borderId="0" xfId="0" applyFont="1" applyFill="1" applyAlignment="1">
      <alignment vertical="center"/>
    </xf>
    <xf numFmtId="0" fontId="1" fillId="5" borderId="10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0" fontId="1" fillId="5" borderId="12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21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0" fontId="31" fillId="5" borderId="0" xfId="0" applyFont="1" applyFill="1"/>
    <xf numFmtId="0" fontId="51" fillId="5" borderId="0" xfId="0" applyFont="1" applyFill="1" applyAlignment="1">
      <alignment horizontal="left" vertical="center"/>
    </xf>
    <xf numFmtId="0" fontId="7" fillId="5" borderId="0" xfId="0" applyFont="1" applyFill="1" applyBorder="1" applyAlignment="1"/>
    <xf numFmtId="0" fontId="45" fillId="5" borderId="21" xfId="0" applyFont="1" applyFill="1" applyBorder="1" applyAlignment="1"/>
    <xf numFmtId="0" fontId="1" fillId="5" borderId="0" xfId="0" applyFont="1" applyFill="1" applyAlignment="1">
      <alignment horizontal="left" vertical="center" wrapText="1"/>
    </xf>
    <xf numFmtId="1" fontId="1" fillId="5" borderId="0" xfId="0" quotePrefix="1" applyNumberFormat="1" applyFont="1" applyFill="1" applyAlignment="1">
      <alignment vertical="center"/>
    </xf>
    <xf numFmtId="0" fontId="1" fillId="5" borderId="0" xfId="0" quotePrefix="1" applyFont="1" applyFill="1" applyAlignment="1">
      <alignment horizontal="left" vertical="center"/>
    </xf>
    <xf numFmtId="1" fontId="1" fillId="5" borderId="0" xfId="0" quotePrefix="1" applyNumberFormat="1" applyFont="1" applyFill="1" applyAlignment="1">
      <alignment horizontal="center" vertical="center"/>
    </xf>
    <xf numFmtId="0" fontId="45" fillId="5" borderId="0" xfId="0" applyFont="1" applyFill="1" applyBorder="1" applyAlignment="1"/>
    <xf numFmtId="2" fontId="39" fillId="5" borderId="21" xfId="0" applyNumberFormat="1" applyFont="1" applyFill="1" applyBorder="1" applyAlignment="1">
      <alignment horizontal="center" vertical="center"/>
    </xf>
    <xf numFmtId="2" fontId="39" fillId="5" borderId="38" xfId="0" applyNumberFormat="1" applyFont="1" applyFill="1" applyBorder="1" applyAlignment="1">
      <alignment horizontal="center" vertical="center"/>
    </xf>
    <xf numFmtId="2" fontId="39" fillId="5" borderId="6" xfId="0" applyNumberFormat="1" applyFont="1" applyFill="1" applyBorder="1" applyAlignment="1">
      <alignment horizontal="center" vertical="center"/>
    </xf>
    <xf numFmtId="0" fontId="48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167" fontId="1" fillId="5" borderId="0" xfId="0" applyNumberFormat="1" applyFont="1" applyFill="1" applyAlignment="1">
      <alignment horizontal="center" vertical="center"/>
    </xf>
    <xf numFmtId="166" fontId="1" fillId="5" borderId="0" xfId="0" applyNumberFormat="1" applyFont="1" applyFill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69" fontId="1" fillId="6" borderId="5" xfId="0" applyNumberFormat="1" applyFont="1" applyFill="1" applyBorder="1" applyAlignment="1">
      <alignment horizontal="center" vertical="center"/>
    </xf>
    <xf numFmtId="169" fontId="1" fillId="6" borderId="6" xfId="0" applyNumberFormat="1" applyFont="1" applyFill="1" applyBorder="1" applyAlignment="1">
      <alignment horizontal="center" vertical="center"/>
    </xf>
    <xf numFmtId="166" fontId="1" fillId="6" borderId="4" xfId="0" applyNumberFormat="1" applyFont="1" applyFill="1" applyBorder="1" applyAlignment="1">
      <alignment horizontal="center" vertical="center"/>
    </xf>
    <xf numFmtId="166" fontId="1" fillId="6" borderId="5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2" fontId="1" fillId="5" borderId="0" xfId="0" applyNumberFormat="1" applyFont="1" applyFill="1" applyAlignment="1">
      <alignment horizontal="center" vertical="center"/>
    </xf>
    <xf numFmtId="0" fontId="1" fillId="5" borderId="0" xfId="0" quotePrefix="1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2" fontId="1" fillId="5" borderId="4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166" fontId="1" fillId="5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 wrapText="1"/>
    </xf>
    <xf numFmtId="166" fontId="1" fillId="5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right" vertical="center"/>
    </xf>
    <xf numFmtId="2" fontId="1" fillId="5" borderId="23" xfId="0" applyNumberFormat="1" applyFont="1" applyFill="1" applyBorder="1" applyAlignment="1">
      <alignment horizontal="center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2" fontId="1" fillId="5" borderId="29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170" fontId="1" fillId="5" borderId="30" xfId="0" applyNumberFormat="1" applyFont="1" applyFill="1" applyBorder="1" applyAlignment="1">
      <alignment horizontal="center"/>
    </xf>
    <xf numFmtId="170" fontId="1" fillId="5" borderId="31" xfId="0" applyNumberFormat="1" applyFont="1" applyFill="1" applyBorder="1" applyAlignment="1">
      <alignment horizontal="center"/>
    </xf>
    <xf numFmtId="170" fontId="1" fillId="5" borderId="32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2" fontId="1" fillId="5" borderId="20" xfId="0" applyNumberFormat="1" applyFont="1" applyFill="1" applyBorder="1" applyAlignment="1">
      <alignment horizontal="center"/>
    </xf>
    <xf numFmtId="2" fontId="1" fillId="5" borderId="21" xfId="0" applyNumberFormat="1" applyFont="1" applyFill="1" applyBorder="1" applyAlignment="1">
      <alignment horizontal="center"/>
    </xf>
    <xf numFmtId="2" fontId="1" fillId="5" borderId="22" xfId="0" applyNumberFormat="1" applyFont="1" applyFill="1" applyBorder="1" applyAlignment="1">
      <alignment horizontal="center"/>
    </xf>
    <xf numFmtId="166" fontId="1" fillId="5" borderId="0" xfId="0" applyNumberFormat="1" applyFont="1" applyFill="1" applyAlignment="1">
      <alignment horizontal="left" vertical="center"/>
    </xf>
    <xf numFmtId="168" fontId="1" fillId="5" borderId="0" xfId="0" applyNumberFormat="1" applyFont="1" applyFill="1" applyAlignment="1">
      <alignment horizontal="center" vertical="center"/>
    </xf>
    <xf numFmtId="165" fontId="18" fillId="5" borderId="16" xfId="0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169" fontId="1" fillId="5" borderId="0" xfId="0" applyNumberFormat="1" applyFont="1" applyFill="1" applyAlignment="1">
      <alignment horizontal="right" vertical="center"/>
    </xf>
    <xf numFmtId="0" fontId="1" fillId="5" borderId="21" xfId="0" applyFont="1" applyFill="1" applyBorder="1" applyAlignment="1">
      <alignment horizontal="center" vertical="center"/>
    </xf>
    <xf numFmtId="172" fontId="1" fillId="5" borderId="0" xfId="0" applyNumberFormat="1" applyFont="1" applyFill="1" applyAlignment="1">
      <alignment horizontal="center"/>
    </xf>
    <xf numFmtId="171" fontId="1" fillId="5" borderId="0" xfId="0" applyNumberFormat="1" applyFont="1" applyFill="1" applyAlignment="1">
      <alignment horizontal="center"/>
    </xf>
    <xf numFmtId="172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2" fontId="1" fillId="5" borderId="21" xfId="0" applyNumberFormat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2" fontId="7" fillId="5" borderId="5" xfId="0" applyNumberFormat="1" applyFont="1" applyFill="1" applyBorder="1" applyAlignment="1">
      <alignment horizontal="center" vertical="center"/>
    </xf>
    <xf numFmtId="2" fontId="7" fillId="5" borderId="6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 vertical="center" wrapText="1"/>
    </xf>
    <xf numFmtId="172" fontId="28" fillId="5" borderId="0" xfId="0" applyNumberFormat="1" applyFont="1" applyFill="1" applyAlignment="1">
      <alignment horizontal="center"/>
    </xf>
    <xf numFmtId="0" fontId="25" fillId="5" borderId="1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left" vertical="center" wrapText="1"/>
    </xf>
    <xf numFmtId="2" fontId="39" fillId="5" borderId="4" xfId="0" applyNumberFormat="1" applyFont="1" applyFill="1" applyBorder="1" applyAlignment="1">
      <alignment horizontal="center" vertical="center"/>
    </xf>
    <xf numFmtId="2" fontId="39" fillId="5" borderId="6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/>
    </xf>
    <xf numFmtId="0" fontId="37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/>
    </xf>
    <xf numFmtId="0" fontId="1" fillId="5" borderId="39" xfId="0" applyFont="1" applyFill="1" applyBorder="1" applyAlignment="1">
      <alignment horizontal="right" vertical="center"/>
    </xf>
    <xf numFmtId="2" fontId="1" fillId="5" borderId="37" xfId="0" applyNumberFormat="1" applyFont="1" applyFill="1" applyBorder="1" applyAlignment="1">
      <alignment horizontal="center"/>
    </xf>
    <xf numFmtId="2" fontId="1" fillId="5" borderId="16" xfId="0" applyNumberFormat="1" applyFont="1" applyFill="1" applyBorder="1" applyAlignment="1">
      <alignment horizontal="center"/>
    </xf>
    <xf numFmtId="2" fontId="1" fillId="5" borderId="36" xfId="0" applyNumberFormat="1" applyFont="1" applyFill="1" applyBorder="1" applyAlignment="1">
      <alignment horizontal="center"/>
    </xf>
    <xf numFmtId="2" fontId="1" fillId="5" borderId="35" xfId="0" applyNumberFormat="1" applyFont="1" applyFill="1" applyBorder="1" applyAlignment="1">
      <alignment horizontal="center"/>
    </xf>
    <xf numFmtId="2" fontId="1" fillId="5" borderId="15" xfId="0" applyNumberFormat="1" applyFont="1" applyFill="1" applyBorder="1" applyAlignment="1">
      <alignment horizontal="center"/>
    </xf>
    <xf numFmtId="2" fontId="1" fillId="5" borderId="34" xfId="0" applyNumberFormat="1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 vertical="top"/>
    </xf>
    <xf numFmtId="0" fontId="1" fillId="5" borderId="37" xfId="0" applyFont="1" applyFill="1" applyBorder="1" applyAlignment="1">
      <alignment horizontal="right" vertical="center"/>
    </xf>
    <xf numFmtId="0" fontId="1" fillId="5" borderId="36" xfId="0" applyFont="1" applyFill="1" applyBorder="1" applyAlignment="1">
      <alignment horizontal="right" vertical="center"/>
    </xf>
    <xf numFmtId="0" fontId="1" fillId="5" borderId="35" xfId="0" applyFont="1" applyFill="1" applyBorder="1" applyAlignment="1">
      <alignment horizontal="center" vertical="top"/>
    </xf>
    <xf numFmtId="0" fontId="1" fillId="5" borderId="34" xfId="0" applyFont="1" applyFill="1" applyBorder="1" applyAlignment="1">
      <alignment horizontal="center" vertical="top"/>
    </xf>
    <xf numFmtId="0" fontId="7" fillId="5" borderId="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right" vertical="center"/>
    </xf>
    <xf numFmtId="0" fontId="1" fillId="5" borderId="21" xfId="0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74" fontId="1" fillId="3" borderId="4" xfId="0" applyNumberFormat="1" applyFont="1" applyFill="1" applyBorder="1" applyAlignment="1">
      <alignment horizontal="center"/>
    </xf>
    <xf numFmtId="174" fontId="1" fillId="3" borderId="5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top"/>
    </xf>
    <xf numFmtId="2" fontId="1" fillId="5" borderId="0" xfId="0" applyNumberFormat="1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/>
    </xf>
    <xf numFmtId="0" fontId="1" fillId="0" borderId="39" xfId="0" applyFont="1" applyBorder="1" applyAlignment="1">
      <alignment horizontal="right" vertical="center"/>
    </xf>
    <xf numFmtId="2" fontId="1" fillId="0" borderId="21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3" xfId="0" applyFont="1" applyBorder="1" applyAlignment="1">
      <alignment horizontal="center" vertical="top"/>
    </xf>
    <xf numFmtId="2" fontId="1" fillId="0" borderId="37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36" xfId="0" applyNumberFormat="1" applyFont="1" applyFill="1" applyBorder="1" applyAlignment="1">
      <alignment horizontal="center"/>
    </xf>
    <xf numFmtId="2" fontId="1" fillId="0" borderId="35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0" borderId="3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1" fillId="0" borderId="37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174" fontId="1" fillId="5" borderId="4" xfId="0" applyNumberFormat="1" applyFont="1" applyFill="1" applyBorder="1" applyAlignment="1">
      <alignment horizontal="center"/>
    </xf>
    <xf numFmtId="174" fontId="1" fillId="5" borderId="5" xfId="0" applyNumberFormat="1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9" fontId="1" fillId="5" borderId="4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117726</xdr:colOff>
      <xdr:row>509</xdr:row>
      <xdr:rowOff>16054</xdr:rowOff>
    </xdr:from>
    <xdr:to>
      <xdr:col>8</xdr:col>
      <xdr:colOff>5352</xdr:colOff>
      <xdr:row>509</xdr:row>
      <xdr:rowOff>112374</xdr:rowOff>
    </xdr:to>
    <xdr:sp macro="" textlink="">
      <xdr:nvSpPr>
        <xdr:cNvPr id="521" name="Rectángulo 520">
          <a:extLst>
            <a:ext uri="{FF2B5EF4-FFF2-40B4-BE49-F238E27FC236}">
              <a16:creationId xmlns:a16="http://schemas.microsoft.com/office/drawing/2014/main" id="{DC8B33AF-1892-4B27-92D1-207DCFFB8E43}"/>
            </a:ext>
          </a:extLst>
        </xdr:cNvPr>
        <xdr:cNvSpPr/>
      </xdr:nvSpPr>
      <xdr:spPr>
        <a:xfrm>
          <a:off x="781265" y="95613877"/>
          <a:ext cx="1878244" cy="96320"/>
        </a:xfrm>
        <a:prstGeom prst="rect">
          <a:avLst/>
        </a:prstGeom>
        <a:pattFill prst="wdDnDiag">
          <a:fgClr>
            <a:schemeClr val="accent4">
              <a:lumMod val="75000"/>
            </a:schemeClr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238125</xdr:colOff>
      <xdr:row>103</xdr:row>
      <xdr:rowOff>168672</xdr:rowOff>
    </xdr:from>
    <xdr:to>
      <xdr:col>14</xdr:col>
      <xdr:colOff>168672</xdr:colOff>
      <xdr:row>104</xdr:row>
      <xdr:rowOff>158750</xdr:rowOff>
    </xdr:to>
    <xdr:sp macro="" textlink="">
      <xdr:nvSpPr>
        <xdr:cNvPr id="203" name="Rectángulo 202">
          <a:extLst>
            <a:ext uri="{FF2B5EF4-FFF2-40B4-BE49-F238E27FC236}">
              <a16:creationId xmlns:a16="http://schemas.microsoft.com/office/drawing/2014/main" id="{63886AF8-049C-4988-9ADB-F92C364DD755}"/>
            </a:ext>
          </a:extLst>
        </xdr:cNvPr>
        <xdr:cNvSpPr/>
      </xdr:nvSpPr>
      <xdr:spPr>
        <a:xfrm>
          <a:off x="3125391" y="18325703"/>
          <a:ext cx="1468437" cy="188516"/>
        </a:xfrm>
        <a:prstGeom prst="rect">
          <a:avLst/>
        </a:prstGeom>
        <a:pattFill prst="ltVert">
          <a:fgClr>
            <a:srgbClr val="7030A0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P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219075</xdr:colOff>
      <xdr:row>39</xdr:row>
      <xdr:rowOff>133350</xdr:rowOff>
    </xdr:from>
    <xdr:to>
      <xdr:col>9</xdr:col>
      <xdr:colOff>228600</xdr:colOff>
      <xdr:row>50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7628CD-0443-456B-B2E8-4FA5C5E5C407}"/>
            </a:ext>
          </a:extLst>
        </xdr:cNvPr>
        <xdr:cNvCxnSpPr/>
      </xdr:nvCxnSpPr>
      <xdr:spPr>
        <a:xfrm>
          <a:off x="3057525" y="6981825"/>
          <a:ext cx="9525" cy="2133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50</xdr:row>
      <xdr:rowOff>161925</xdr:rowOff>
    </xdr:from>
    <xdr:to>
      <xdr:col>11</xdr:col>
      <xdr:colOff>0</xdr:colOff>
      <xdr:row>50</xdr:row>
      <xdr:rowOff>170447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84C405B-161C-47FF-885B-A0B0CF2C4C90}"/>
            </a:ext>
          </a:extLst>
        </xdr:cNvPr>
        <xdr:cNvCxnSpPr/>
      </xdr:nvCxnSpPr>
      <xdr:spPr>
        <a:xfrm>
          <a:off x="3071562" y="9110412"/>
          <a:ext cx="392530" cy="852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296271</xdr:colOff>
      <xdr:row>50</xdr:row>
      <xdr:rowOff>172708</xdr:rowOff>
    </xdr:from>
    <xdr:to>
      <xdr:col>10</xdr:col>
      <xdr:colOff>302979</xdr:colOff>
      <xdr:row>52</xdr:row>
      <xdr:rowOff>112338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AD0B9B6F-63AB-4477-9076-9F0B71DCAF8D}"/>
            </a:ext>
          </a:extLst>
        </xdr:cNvPr>
        <xdr:cNvCxnSpPr/>
      </xdr:nvCxnSpPr>
      <xdr:spPr>
        <a:xfrm flipH="1">
          <a:off x="3454560" y="9121195"/>
          <a:ext cx="6708" cy="3206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255671</xdr:colOff>
      <xdr:row>52</xdr:row>
      <xdr:rowOff>105276</xdr:rowOff>
    </xdr:from>
    <xdr:to>
      <xdr:col>10</xdr:col>
      <xdr:colOff>295777</xdr:colOff>
      <xdr:row>52</xdr:row>
      <xdr:rowOff>110289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F4B560AB-6703-4A6E-A883-4FB0ADDC815A}"/>
            </a:ext>
          </a:extLst>
        </xdr:cNvPr>
        <xdr:cNvCxnSpPr/>
      </xdr:nvCxnSpPr>
      <xdr:spPr>
        <a:xfrm flipV="1">
          <a:off x="1539039" y="9434763"/>
          <a:ext cx="1915027" cy="501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260926</xdr:colOff>
      <xdr:row>50</xdr:row>
      <xdr:rowOff>177537</xdr:rowOff>
    </xdr:from>
    <xdr:to>
      <xdr:col>4</xdr:col>
      <xdr:colOff>267634</xdr:colOff>
      <xdr:row>52</xdr:row>
      <xdr:rowOff>117167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7B18C83B-0CD7-430B-B078-AF5E96774925}"/>
            </a:ext>
          </a:extLst>
        </xdr:cNvPr>
        <xdr:cNvCxnSpPr/>
      </xdr:nvCxnSpPr>
      <xdr:spPr>
        <a:xfrm flipH="1">
          <a:off x="1544294" y="9126024"/>
          <a:ext cx="6708" cy="3206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260685</xdr:colOff>
      <xdr:row>50</xdr:row>
      <xdr:rowOff>175460</xdr:rowOff>
    </xdr:from>
    <xdr:to>
      <xdr:col>5</xdr:col>
      <xdr:colOff>310815</xdr:colOff>
      <xdr:row>50</xdr:row>
      <xdr:rowOff>175460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1178F39C-76F3-46CD-915A-E21CD2E7345F}"/>
            </a:ext>
          </a:extLst>
        </xdr:cNvPr>
        <xdr:cNvCxnSpPr/>
      </xdr:nvCxnSpPr>
      <xdr:spPr>
        <a:xfrm>
          <a:off x="1544053" y="9123947"/>
          <a:ext cx="375986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315264</xdr:colOff>
      <xdr:row>41</xdr:row>
      <xdr:rowOff>114032</xdr:rowOff>
    </xdr:from>
    <xdr:to>
      <xdr:col>8</xdr:col>
      <xdr:colOff>73785</xdr:colOff>
      <xdr:row>50</xdr:row>
      <xdr:rowOff>181109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7EBD7C47-F5E2-412D-9321-B816AD871E48}"/>
            </a:ext>
          </a:extLst>
        </xdr:cNvPr>
        <xdr:cNvCxnSpPr/>
      </xdr:nvCxnSpPr>
      <xdr:spPr>
        <a:xfrm flipV="1">
          <a:off x="1905000" y="7257782"/>
          <a:ext cx="684190" cy="1757429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288433</xdr:colOff>
      <xdr:row>39</xdr:row>
      <xdr:rowOff>134155</xdr:rowOff>
    </xdr:from>
    <xdr:to>
      <xdr:col>9</xdr:col>
      <xdr:colOff>221355</xdr:colOff>
      <xdr:row>39</xdr:row>
      <xdr:rowOff>140863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1DA552E1-CD06-4B95-8FE0-2622AF1B15D9}"/>
            </a:ext>
          </a:extLst>
        </xdr:cNvPr>
        <xdr:cNvCxnSpPr/>
      </xdr:nvCxnSpPr>
      <xdr:spPr>
        <a:xfrm flipV="1">
          <a:off x="2803838" y="6902271"/>
          <a:ext cx="234771" cy="670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73785</xdr:colOff>
      <xdr:row>41</xdr:row>
      <xdr:rowOff>120739</xdr:rowOff>
    </xdr:from>
    <xdr:to>
      <xdr:col>8</xdr:col>
      <xdr:colOff>281725</xdr:colOff>
      <xdr:row>41</xdr:row>
      <xdr:rowOff>120739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85CEB733-B59D-42C1-8525-18713BAD3143}"/>
            </a:ext>
          </a:extLst>
        </xdr:cNvPr>
        <xdr:cNvCxnSpPr/>
      </xdr:nvCxnSpPr>
      <xdr:spPr>
        <a:xfrm>
          <a:off x="2589190" y="7264489"/>
          <a:ext cx="20794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275018</xdr:colOff>
      <xdr:row>39</xdr:row>
      <xdr:rowOff>134155</xdr:rowOff>
    </xdr:from>
    <xdr:to>
      <xdr:col>8</xdr:col>
      <xdr:colOff>281725</xdr:colOff>
      <xdr:row>41</xdr:row>
      <xdr:rowOff>120739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6EE5D138-F9E3-4AD5-A0B1-4F6B5E2DC0DA}"/>
            </a:ext>
          </a:extLst>
        </xdr:cNvPr>
        <xdr:cNvCxnSpPr/>
      </xdr:nvCxnSpPr>
      <xdr:spPr>
        <a:xfrm flipH="1">
          <a:off x="2790423" y="6902271"/>
          <a:ext cx="6707" cy="36221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228063</xdr:colOff>
      <xdr:row>39</xdr:row>
      <xdr:rowOff>134155</xdr:rowOff>
    </xdr:from>
    <xdr:to>
      <xdr:col>8</xdr:col>
      <xdr:colOff>254894</xdr:colOff>
      <xdr:row>41</xdr:row>
      <xdr:rowOff>100616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77527834-7A55-41F4-BF99-44D34107BCC7}"/>
            </a:ext>
          </a:extLst>
        </xdr:cNvPr>
        <xdr:cNvSpPr/>
      </xdr:nvSpPr>
      <xdr:spPr>
        <a:xfrm>
          <a:off x="2172751" y="6920718"/>
          <a:ext cx="641987" cy="403023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234841</xdr:colOff>
      <xdr:row>39</xdr:row>
      <xdr:rowOff>140759</xdr:rowOff>
    </xdr:from>
    <xdr:to>
      <xdr:col>14</xdr:col>
      <xdr:colOff>140933</xdr:colOff>
      <xdr:row>39</xdr:row>
      <xdr:rowOff>228203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851CEB9B-92B4-4476-9749-E6C767D311C8}"/>
            </a:ext>
          </a:extLst>
        </xdr:cNvPr>
        <xdr:cNvSpPr/>
      </xdr:nvSpPr>
      <xdr:spPr>
        <a:xfrm>
          <a:off x="3102263" y="6927322"/>
          <a:ext cx="1443983" cy="87444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90714</xdr:colOff>
      <xdr:row>50</xdr:row>
      <xdr:rowOff>136071</xdr:rowOff>
    </xdr:from>
    <xdr:to>
      <xdr:col>11</xdr:col>
      <xdr:colOff>90714</xdr:colOff>
      <xdr:row>52</xdr:row>
      <xdr:rowOff>113393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2D866BE7-672D-4929-ACBA-E5464FE26A6B}"/>
            </a:ext>
          </a:extLst>
        </xdr:cNvPr>
        <xdr:cNvCxnSpPr/>
      </xdr:nvCxnSpPr>
      <xdr:spPr>
        <a:xfrm flipV="1">
          <a:off x="3571875" y="9173482"/>
          <a:ext cx="0" cy="36285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254453</xdr:colOff>
      <xdr:row>53</xdr:row>
      <xdr:rowOff>0</xdr:rowOff>
    </xdr:from>
    <xdr:to>
      <xdr:col>11</xdr:col>
      <xdr:colOff>0</xdr:colOff>
      <xdr:row>53</xdr:row>
      <xdr:rowOff>16330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838AFB72-7F15-43AE-B0BF-28A6E99AEB73}"/>
            </a:ext>
          </a:extLst>
        </xdr:cNvPr>
        <xdr:cNvCxnSpPr/>
      </xdr:nvCxnSpPr>
      <xdr:spPr>
        <a:xfrm flipV="1">
          <a:off x="1547132" y="9615714"/>
          <a:ext cx="1934029" cy="1633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68036</xdr:colOff>
      <xdr:row>48</xdr:row>
      <xdr:rowOff>56696</xdr:rowOff>
    </xdr:from>
    <xdr:to>
      <xdr:col>6</xdr:col>
      <xdr:colOff>136072</xdr:colOff>
      <xdr:row>48</xdr:row>
      <xdr:rowOff>181429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C0D8E36-AFE7-47F8-B865-3E72F742EBC0}"/>
            </a:ext>
          </a:extLst>
        </xdr:cNvPr>
        <xdr:cNvSpPr/>
      </xdr:nvSpPr>
      <xdr:spPr>
        <a:xfrm>
          <a:off x="703036" y="8708571"/>
          <a:ext cx="1383393" cy="124733"/>
        </a:xfrm>
        <a:prstGeom prst="rect">
          <a:avLst/>
        </a:prstGeom>
        <a:pattFill prst="weave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231775</xdr:colOff>
      <xdr:row>47</xdr:row>
      <xdr:rowOff>175080</xdr:rowOff>
    </xdr:from>
    <xdr:to>
      <xdr:col>6</xdr:col>
      <xdr:colOff>22679</xdr:colOff>
      <xdr:row>47</xdr:row>
      <xdr:rowOff>181429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id="{5CB60E26-15C1-4269-8A5A-B978B19754BD}"/>
            </a:ext>
          </a:extLst>
        </xdr:cNvPr>
        <xdr:cNvCxnSpPr/>
      </xdr:nvCxnSpPr>
      <xdr:spPr>
        <a:xfrm>
          <a:off x="1524454" y="8634187"/>
          <a:ext cx="448582" cy="63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79375</xdr:colOff>
      <xdr:row>48</xdr:row>
      <xdr:rowOff>11339</xdr:rowOff>
    </xdr:from>
    <xdr:to>
      <xdr:col>4</xdr:col>
      <xdr:colOff>84364</xdr:colOff>
      <xdr:row>52</xdr:row>
      <xdr:rowOff>118382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01809BC3-CFA2-423E-9C5D-3E9A671F3B15}"/>
            </a:ext>
          </a:extLst>
        </xdr:cNvPr>
        <xdr:cNvCxnSpPr/>
      </xdr:nvCxnSpPr>
      <xdr:spPr>
        <a:xfrm flipH="1" flipV="1">
          <a:off x="1372054" y="8663214"/>
          <a:ext cx="4989" cy="87811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124732</xdr:colOff>
      <xdr:row>38</xdr:row>
      <xdr:rowOff>113393</xdr:rowOff>
    </xdr:from>
    <xdr:to>
      <xdr:col>8</xdr:col>
      <xdr:colOff>124732</xdr:colOff>
      <xdr:row>41</xdr:row>
      <xdr:rowOff>90714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7E22280A-C961-45EC-86A9-9AAAEE020B5A}"/>
            </a:ext>
          </a:extLst>
        </xdr:cNvPr>
        <xdr:cNvCxnSpPr/>
      </xdr:nvCxnSpPr>
      <xdr:spPr>
        <a:xfrm>
          <a:off x="2687411" y="6837589"/>
          <a:ext cx="0" cy="5556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148828</xdr:colOff>
      <xdr:row>39</xdr:row>
      <xdr:rowOff>128984</xdr:rowOff>
    </xdr:from>
    <xdr:to>
      <xdr:col>6</xdr:col>
      <xdr:colOff>158750</xdr:colOff>
      <xdr:row>41</xdr:row>
      <xdr:rowOff>109141</xdr:rowOff>
    </xdr:to>
    <xdr:cxnSp macro="">
      <xdr:nvCxnSpPr>
        <xdr:cNvPr id="46" name="Conector recto de flecha 45">
          <a:extLst>
            <a:ext uri="{FF2B5EF4-FFF2-40B4-BE49-F238E27FC236}">
              <a16:creationId xmlns:a16="http://schemas.microsoft.com/office/drawing/2014/main" id="{186987D7-AB78-43E0-B2AA-44584EC9DF68}"/>
            </a:ext>
          </a:extLst>
        </xdr:cNvPr>
        <xdr:cNvCxnSpPr/>
      </xdr:nvCxnSpPr>
      <xdr:spPr>
        <a:xfrm>
          <a:off x="2093516" y="6915547"/>
          <a:ext cx="9922" cy="3571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148828</xdr:colOff>
      <xdr:row>34</xdr:row>
      <xdr:rowOff>9922</xdr:rowOff>
    </xdr:from>
    <xdr:to>
      <xdr:col>6</xdr:col>
      <xdr:colOff>148828</xdr:colOff>
      <xdr:row>39</xdr:row>
      <xdr:rowOff>119062</xdr:rowOff>
    </xdr:to>
    <xdr:cxnSp macro="">
      <xdr:nvCxnSpPr>
        <xdr:cNvPr id="48" name="Conector recto de flecha 47">
          <a:extLst>
            <a:ext uri="{FF2B5EF4-FFF2-40B4-BE49-F238E27FC236}">
              <a16:creationId xmlns:a16="http://schemas.microsoft.com/office/drawing/2014/main" id="{ED028C45-41AE-4FE5-AA8E-61FC669585A9}"/>
            </a:ext>
          </a:extLst>
        </xdr:cNvPr>
        <xdr:cNvCxnSpPr/>
      </xdr:nvCxnSpPr>
      <xdr:spPr>
        <a:xfrm flipV="1">
          <a:off x="2093516" y="5853906"/>
          <a:ext cx="0" cy="10517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207733</xdr:colOff>
      <xdr:row>34</xdr:row>
      <xdr:rowOff>19114</xdr:rowOff>
    </xdr:from>
    <xdr:to>
      <xdr:col>9</xdr:col>
      <xdr:colOff>330242</xdr:colOff>
      <xdr:row>34</xdr:row>
      <xdr:rowOff>19114</xdr:rowOff>
    </xdr:to>
    <xdr:cxnSp macro="">
      <xdr:nvCxnSpPr>
        <xdr:cNvPr id="52" name="Conector recto de flecha 51">
          <a:extLst>
            <a:ext uri="{FF2B5EF4-FFF2-40B4-BE49-F238E27FC236}">
              <a16:creationId xmlns:a16="http://schemas.microsoft.com/office/drawing/2014/main" id="{E488A526-4F5F-4C75-B75E-2A54E1DF2B24}"/>
            </a:ext>
          </a:extLst>
        </xdr:cNvPr>
        <xdr:cNvCxnSpPr/>
      </xdr:nvCxnSpPr>
      <xdr:spPr>
        <a:xfrm flipH="1">
          <a:off x="2553891" y="5914588"/>
          <a:ext cx="784246" cy="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198437</xdr:colOff>
      <xdr:row>39</xdr:row>
      <xdr:rowOff>128984</xdr:rowOff>
    </xdr:from>
    <xdr:to>
      <xdr:col>14</xdr:col>
      <xdr:colOff>208359</xdr:colOff>
      <xdr:row>40</xdr:row>
      <xdr:rowOff>49610</xdr:rowOff>
    </xdr:to>
    <xdr:cxnSp macro="">
      <xdr:nvCxnSpPr>
        <xdr:cNvPr id="53" name="Conector recto de flecha 52">
          <a:extLst>
            <a:ext uri="{FF2B5EF4-FFF2-40B4-BE49-F238E27FC236}">
              <a16:creationId xmlns:a16="http://schemas.microsoft.com/office/drawing/2014/main" id="{67F65F89-EEA5-44C5-A3AE-48A500F04467}"/>
            </a:ext>
          </a:extLst>
        </xdr:cNvPr>
        <xdr:cNvCxnSpPr/>
      </xdr:nvCxnSpPr>
      <xdr:spPr>
        <a:xfrm flipH="1">
          <a:off x="4603750" y="6915547"/>
          <a:ext cx="9922" cy="1686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226785</xdr:colOff>
      <xdr:row>39</xdr:row>
      <xdr:rowOff>245211</xdr:rowOff>
    </xdr:from>
    <xdr:to>
      <xdr:col>14</xdr:col>
      <xdr:colOff>138905</xdr:colOff>
      <xdr:row>40</xdr:row>
      <xdr:rowOff>138907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9F716953-D835-4C72-8DA3-0E0D1E491B21}"/>
            </a:ext>
          </a:extLst>
        </xdr:cNvPr>
        <xdr:cNvSpPr/>
      </xdr:nvSpPr>
      <xdr:spPr>
        <a:xfrm>
          <a:off x="3094207" y="7031774"/>
          <a:ext cx="1450011" cy="141742"/>
        </a:xfrm>
        <a:prstGeom prst="rect">
          <a:avLst/>
        </a:prstGeom>
        <a:pattFill prst="weave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230357</xdr:colOff>
      <xdr:row>40</xdr:row>
      <xdr:rowOff>149565</xdr:rowOff>
    </xdr:from>
    <xdr:to>
      <xdr:col>10</xdr:col>
      <xdr:colOff>0</xdr:colOff>
      <xdr:row>50</xdr:row>
      <xdr:rowOff>138906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6814CD22-FCC3-4826-95FA-C2514B99A1CD}"/>
            </a:ext>
          </a:extLst>
        </xdr:cNvPr>
        <xdr:cNvSpPr/>
      </xdr:nvSpPr>
      <xdr:spPr>
        <a:xfrm>
          <a:off x="3097779" y="7184174"/>
          <a:ext cx="77221" cy="1874498"/>
        </a:xfrm>
        <a:prstGeom prst="rect">
          <a:avLst/>
        </a:prstGeom>
        <a:pattFill prst="weave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59532</xdr:colOff>
      <xdr:row>39</xdr:row>
      <xdr:rowOff>148828</xdr:rowOff>
    </xdr:from>
    <xdr:to>
      <xdr:col>16</xdr:col>
      <xdr:colOff>59532</xdr:colOff>
      <xdr:row>52</xdr:row>
      <xdr:rowOff>119063</xdr:rowOff>
    </xdr:to>
    <xdr:cxnSp macro="">
      <xdr:nvCxnSpPr>
        <xdr:cNvPr id="58" name="Conector recto de flecha 57">
          <a:extLst>
            <a:ext uri="{FF2B5EF4-FFF2-40B4-BE49-F238E27FC236}">
              <a16:creationId xmlns:a16="http://schemas.microsoft.com/office/drawing/2014/main" id="{E0D53E66-2102-497F-8DBC-837B35EEB5FB}"/>
            </a:ext>
          </a:extLst>
        </xdr:cNvPr>
        <xdr:cNvCxnSpPr/>
      </xdr:nvCxnSpPr>
      <xdr:spPr>
        <a:xfrm>
          <a:off x="5080001" y="6935391"/>
          <a:ext cx="0" cy="248046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228203</xdr:colOff>
      <xdr:row>39</xdr:row>
      <xdr:rowOff>119062</xdr:rowOff>
    </xdr:from>
    <xdr:to>
      <xdr:col>7</xdr:col>
      <xdr:colOff>9922</xdr:colOff>
      <xdr:row>40</xdr:row>
      <xdr:rowOff>19844</xdr:rowOff>
    </xdr:to>
    <xdr:sp macro="" textlink="">
      <xdr:nvSpPr>
        <xdr:cNvPr id="61" name="Forma libre: forma 60">
          <a:extLst>
            <a:ext uri="{FF2B5EF4-FFF2-40B4-BE49-F238E27FC236}">
              <a16:creationId xmlns:a16="http://schemas.microsoft.com/office/drawing/2014/main" id="{CFE49863-C6C8-4B67-854D-09DE5A18E401}"/>
            </a:ext>
          </a:extLst>
        </xdr:cNvPr>
        <xdr:cNvSpPr/>
      </xdr:nvSpPr>
      <xdr:spPr>
        <a:xfrm>
          <a:off x="1845469" y="6905625"/>
          <a:ext cx="416719" cy="148828"/>
        </a:xfrm>
        <a:custGeom>
          <a:avLst/>
          <a:gdLst>
            <a:gd name="connsiteX0" fmla="*/ 0 w 317500"/>
            <a:gd name="connsiteY0" fmla="*/ 0 h 128984"/>
            <a:gd name="connsiteX1" fmla="*/ 208359 w 317500"/>
            <a:gd name="connsiteY1" fmla="*/ 59531 h 128984"/>
            <a:gd name="connsiteX2" fmla="*/ 317500 w 317500"/>
            <a:gd name="connsiteY2" fmla="*/ 128984 h 128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128984">
              <a:moveTo>
                <a:pt x="0" y="0"/>
              </a:moveTo>
              <a:cubicBezTo>
                <a:pt x="77721" y="19017"/>
                <a:pt x="155442" y="38034"/>
                <a:pt x="208359" y="59531"/>
              </a:cubicBezTo>
              <a:cubicBezTo>
                <a:pt x="261276" y="81028"/>
                <a:pt x="284427" y="105833"/>
                <a:pt x="317500" y="128984"/>
              </a:cubicBez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128984</xdr:colOff>
      <xdr:row>40</xdr:row>
      <xdr:rowOff>99219</xdr:rowOff>
    </xdr:from>
    <xdr:to>
      <xdr:col>8</xdr:col>
      <xdr:colOff>271463</xdr:colOff>
      <xdr:row>40</xdr:row>
      <xdr:rowOff>102792</xdr:rowOff>
    </xdr:to>
    <xdr:cxnSp macro="">
      <xdr:nvCxnSpPr>
        <xdr:cNvPr id="62" name="Conector recto de flecha 61">
          <a:extLst>
            <a:ext uri="{FF2B5EF4-FFF2-40B4-BE49-F238E27FC236}">
              <a16:creationId xmlns:a16="http://schemas.microsoft.com/office/drawing/2014/main" id="{F97E2C00-4A29-41B0-88FA-81F61F9315F7}"/>
            </a:ext>
          </a:extLst>
        </xdr:cNvPr>
        <xdr:cNvCxnSpPr/>
      </xdr:nvCxnSpPr>
      <xdr:spPr>
        <a:xfrm flipH="1" flipV="1">
          <a:off x="2381250" y="7133828"/>
          <a:ext cx="450057" cy="3573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119062</xdr:colOff>
      <xdr:row>40</xdr:row>
      <xdr:rowOff>69454</xdr:rowOff>
    </xdr:from>
    <xdr:to>
      <xdr:col>7</xdr:col>
      <xdr:colOff>128984</xdr:colOff>
      <xdr:row>41</xdr:row>
      <xdr:rowOff>109141</xdr:rowOff>
    </xdr:to>
    <xdr:cxnSp macro="">
      <xdr:nvCxnSpPr>
        <xdr:cNvPr id="65" name="Conector recto de flecha 64">
          <a:extLst>
            <a:ext uri="{FF2B5EF4-FFF2-40B4-BE49-F238E27FC236}">
              <a16:creationId xmlns:a16="http://schemas.microsoft.com/office/drawing/2014/main" id="{D959B40E-6D1E-48F4-8E0B-8941434C4002}"/>
            </a:ext>
          </a:extLst>
        </xdr:cNvPr>
        <xdr:cNvCxnSpPr/>
      </xdr:nvCxnSpPr>
      <xdr:spPr>
        <a:xfrm flipH="1">
          <a:off x="2371328" y="7104063"/>
          <a:ext cx="9922" cy="22820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218281</xdr:colOff>
      <xdr:row>40</xdr:row>
      <xdr:rowOff>178594</xdr:rowOff>
    </xdr:from>
    <xdr:to>
      <xdr:col>7</xdr:col>
      <xdr:colOff>69453</xdr:colOff>
      <xdr:row>42</xdr:row>
      <xdr:rowOff>59531</xdr:rowOff>
    </xdr:to>
    <xdr:sp macro="" textlink="">
      <xdr:nvSpPr>
        <xdr:cNvPr id="69" name="Forma libre: forma 68">
          <a:extLst>
            <a:ext uri="{FF2B5EF4-FFF2-40B4-BE49-F238E27FC236}">
              <a16:creationId xmlns:a16="http://schemas.microsoft.com/office/drawing/2014/main" id="{8241C1C8-D51A-44BE-9858-4E84E307CA99}"/>
            </a:ext>
          </a:extLst>
        </xdr:cNvPr>
        <xdr:cNvSpPr/>
      </xdr:nvSpPr>
      <xdr:spPr>
        <a:xfrm rot="11430619">
          <a:off x="2162969" y="7213203"/>
          <a:ext cx="158750" cy="257969"/>
        </a:xfrm>
        <a:custGeom>
          <a:avLst/>
          <a:gdLst>
            <a:gd name="connsiteX0" fmla="*/ 158750 w 158750"/>
            <a:gd name="connsiteY0" fmla="*/ 0 h 257969"/>
            <a:gd name="connsiteX1" fmla="*/ 0 w 158750"/>
            <a:gd name="connsiteY1" fmla="*/ 257969 h 257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8750" h="257969">
              <a:moveTo>
                <a:pt x="158750" y="0"/>
              </a:moveTo>
              <a:cubicBezTo>
                <a:pt x="90123" y="99219"/>
                <a:pt x="21497" y="198438"/>
                <a:pt x="0" y="257969"/>
              </a:cubicBez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215447</xdr:colOff>
      <xdr:row>50</xdr:row>
      <xdr:rowOff>68036</xdr:rowOff>
    </xdr:from>
    <xdr:to>
      <xdr:col>11</xdr:col>
      <xdr:colOff>0</xdr:colOff>
      <xdr:row>50</xdr:row>
      <xdr:rowOff>79375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4CF1DE42-5763-4BE2-9E0C-B92B80C3AEAF}"/>
            </a:ext>
          </a:extLst>
        </xdr:cNvPr>
        <xdr:cNvCxnSpPr/>
      </xdr:nvCxnSpPr>
      <xdr:spPr>
        <a:xfrm>
          <a:off x="3084286" y="9105447"/>
          <a:ext cx="396875" cy="113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68036</xdr:colOff>
      <xdr:row>41</xdr:row>
      <xdr:rowOff>175759</xdr:rowOff>
    </xdr:from>
    <xdr:to>
      <xdr:col>9</xdr:col>
      <xdr:colOff>0</xdr:colOff>
      <xdr:row>42</xdr:row>
      <xdr:rowOff>0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21555A73-14E1-49E0-8A48-E5C3EEB6C859}"/>
            </a:ext>
          </a:extLst>
        </xdr:cNvPr>
        <xdr:cNvCxnSpPr/>
      </xdr:nvCxnSpPr>
      <xdr:spPr>
        <a:xfrm>
          <a:off x="2627880" y="7398884"/>
          <a:ext cx="239542" cy="1275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104</xdr:row>
      <xdr:rowOff>133350</xdr:rowOff>
    </xdr:from>
    <xdr:to>
      <xdr:col>9</xdr:col>
      <xdr:colOff>228600</xdr:colOff>
      <xdr:row>115</xdr:row>
      <xdr:rowOff>171450</xdr:rowOff>
    </xdr:to>
    <xdr:cxnSp macro="">
      <xdr:nvCxnSpPr>
        <xdr:cNvPr id="74" name="Conector recto 73">
          <a:extLst>
            <a:ext uri="{FF2B5EF4-FFF2-40B4-BE49-F238E27FC236}">
              <a16:creationId xmlns:a16="http://schemas.microsoft.com/office/drawing/2014/main" id="{554B10B7-B807-4205-A060-5D30CC50CCDC}"/>
            </a:ext>
          </a:extLst>
        </xdr:cNvPr>
        <xdr:cNvCxnSpPr/>
      </xdr:nvCxnSpPr>
      <xdr:spPr>
        <a:xfrm>
          <a:off x="3086497" y="6919913"/>
          <a:ext cx="9525" cy="217130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115</xdr:row>
      <xdr:rowOff>161925</xdr:rowOff>
    </xdr:from>
    <xdr:to>
      <xdr:col>11</xdr:col>
      <xdr:colOff>0</xdr:colOff>
      <xdr:row>115</xdr:row>
      <xdr:rowOff>170447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FCAF658-51AB-460E-89C6-5F23244566F0}"/>
            </a:ext>
          </a:extLst>
        </xdr:cNvPr>
        <xdr:cNvCxnSpPr/>
      </xdr:nvCxnSpPr>
      <xdr:spPr>
        <a:xfrm>
          <a:off x="3086497" y="9081691"/>
          <a:ext cx="396081" cy="852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296271</xdr:colOff>
      <xdr:row>115</xdr:row>
      <xdr:rowOff>172708</xdr:rowOff>
    </xdr:from>
    <xdr:to>
      <xdr:col>10</xdr:col>
      <xdr:colOff>302979</xdr:colOff>
      <xdr:row>117</xdr:row>
      <xdr:rowOff>112338</xdr:rowOff>
    </xdr:to>
    <xdr:cxnSp macro="">
      <xdr:nvCxnSpPr>
        <xdr:cNvPr id="76" name="Conector recto 75">
          <a:extLst>
            <a:ext uri="{FF2B5EF4-FFF2-40B4-BE49-F238E27FC236}">
              <a16:creationId xmlns:a16="http://schemas.microsoft.com/office/drawing/2014/main" id="{EFE12F6E-2E87-4C86-9589-CB24F5655460}"/>
            </a:ext>
          </a:extLst>
        </xdr:cNvPr>
        <xdr:cNvCxnSpPr/>
      </xdr:nvCxnSpPr>
      <xdr:spPr>
        <a:xfrm flipH="1">
          <a:off x="3471271" y="9092474"/>
          <a:ext cx="6708" cy="31666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255671</xdr:colOff>
      <xdr:row>117</xdr:row>
      <xdr:rowOff>105276</xdr:rowOff>
    </xdr:from>
    <xdr:to>
      <xdr:col>10</xdr:col>
      <xdr:colOff>295777</xdr:colOff>
      <xdr:row>117</xdr:row>
      <xdr:rowOff>110289</xdr:rowOff>
    </xdr:to>
    <xdr:cxnSp macro="">
      <xdr:nvCxnSpPr>
        <xdr:cNvPr id="77" name="Conector recto 76">
          <a:extLst>
            <a:ext uri="{FF2B5EF4-FFF2-40B4-BE49-F238E27FC236}">
              <a16:creationId xmlns:a16="http://schemas.microsoft.com/office/drawing/2014/main" id="{69A2AD39-8A37-401D-84E2-4A06EC8D5A0E}"/>
            </a:ext>
          </a:extLst>
        </xdr:cNvPr>
        <xdr:cNvCxnSpPr/>
      </xdr:nvCxnSpPr>
      <xdr:spPr>
        <a:xfrm flipV="1">
          <a:off x="1545515" y="9402073"/>
          <a:ext cx="1925262" cy="501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260926</xdr:colOff>
      <xdr:row>115</xdr:row>
      <xdr:rowOff>177537</xdr:rowOff>
    </xdr:from>
    <xdr:to>
      <xdr:col>4</xdr:col>
      <xdr:colOff>267634</xdr:colOff>
      <xdr:row>117</xdr:row>
      <xdr:rowOff>117167</xdr:rowOff>
    </xdr:to>
    <xdr:cxnSp macro="">
      <xdr:nvCxnSpPr>
        <xdr:cNvPr id="78" name="Conector recto 77">
          <a:extLst>
            <a:ext uri="{FF2B5EF4-FFF2-40B4-BE49-F238E27FC236}">
              <a16:creationId xmlns:a16="http://schemas.microsoft.com/office/drawing/2014/main" id="{557EF08C-2AF6-424D-98E4-A9BB88D32429}"/>
            </a:ext>
          </a:extLst>
        </xdr:cNvPr>
        <xdr:cNvCxnSpPr/>
      </xdr:nvCxnSpPr>
      <xdr:spPr>
        <a:xfrm flipH="1">
          <a:off x="1550770" y="9097303"/>
          <a:ext cx="6708" cy="31666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260685</xdr:colOff>
      <xdr:row>115</xdr:row>
      <xdr:rowOff>175460</xdr:rowOff>
    </xdr:from>
    <xdr:to>
      <xdr:col>5</xdr:col>
      <xdr:colOff>310815</xdr:colOff>
      <xdr:row>115</xdr:row>
      <xdr:rowOff>175460</xdr:rowOff>
    </xdr:to>
    <xdr:cxnSp macro="">
      <xdr:nvCxnSpPr>
        <xdr:cNvPr id="79" name="Conector recto 78">
          <a:extLst>
            <a:ext uri="{FF2B5EF4-FFF2-40B4-BE49-F238E27FC236}">
              <a16:creationId xmlns:a16="http://schemas.microsoft.com/office/drawing/2014/main" id="{52016E98-EAD9-45A4-B730-5C1DD29B846A}"/>
            </a:ext>
          </a:extLst>
        </xdr:cNvPr>
        <xdr:cNvCxnSpPr/>
      </xdr:nvCxnSpPr>
      <xdr:spPr>
        <a:xfrm>
          <a:off x="1550529" y="9095226"/>
          <a:ext cx="377552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315264</xdr:colOff>
      <xdr:row>106</xdr:row>
      <xdr:rowOff>114032</xdr:rowOff>
    </xdr:from>
    <xdr:to>
      <xdr:col>8</xdr:col>
      <xdr:colOff>73785</xdr:colOff>
      <xdr:row>115</xdr:row>
      <xdr:rowOff>181109</xdr:rowOff>
    </xdr:to>
    <xdr:cxnSp macro="">
      <xdr:nvCxnSpPr>
        <xdr:cNvPr id="80" name="Conector recto 79">
          <a:extLst>
            <a:ext uri="{FF2B5EF4-FFF2-40B4-BE49-F238E27FC236}">
              <a16:creationId xmlns:a16="http://schemas.microsoft.com/office/drawing/2014/main" id="{EEA50306-F9A3-4036-AEB3-F3A257F52244}"/>
            </a:ext>
          </a:extLst>
        </xdr:cNvPr>
        <xdr:cNvCxnSpPr/>
      </xdr:nvCxnSpPr>
      <xdr:spPr>
        <a:xfrm flipV="1">
          <a:off x="1932530" y="7337157"/>
          <a:ext cx="701099" cy="176371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288433</xdr:colOff>
      <xdr:row>104</xdr:row>
      <xdr:rowOff>134155</xdr:rowOff>
    </xdr:from>
    <xdr:to>
      <xdr:col>9</xdr:col>
      <xdr:colOff>221355</xdr:colOff>
      <xdr:row>104</xdr:row>
      <xdr:rowOff>140863</xdr:rowOff>
    </xdr:to>
    <xdr:cxnSp macro="">
      <xdr:nvCxnSpPr>
        <xdr:cNvPr id="81" name="Conector recto 80">
          <a:extLst>
            <a:ext uri="{FF2B5EF4-FFF2-40B4-BE49-F238E27FC236}">
              <a16:creationId xmlns:a16="http://schemas.microsoft.com/office/drawing/2014/main" id="{A33D1D78-15D3-4F02-9285-09C545D0CBE2}"/>
            </a:ext>
          </a:extLst>
        </xdr:cNvPr>
        <xdr:cNvCxnSpPr/>
      </xdr:nvCxnSpPr>
      <xdr:spPr>
        <a:xfrm flipV="1">
          <a:off x="2848277" y="6920718"/>
          <a:ext cx="240500" cy="670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73785</xdr:colOff>
      <xdr:row>106</xdr:row>
      <xdr:rowOff>120739</xdr:rowOff>
    </xdr:from>
    <xdr:to>
      <xdr:col>8</xdr:col>
      <xdr:colOff>281725</xdr:colOff>
      <xdr:row>106</xdr:row>
      <xdr:rowOff>120739</xdr:rowOff>
    </xdr:to>
    <xdr:cxnSp macro="">
      <xdr:nvCxnSpPr>
        <xdr:cNvPr id="82" name="Conector recto 81">
          <a:extLst>
            <a:ext uri="{FF2B5EF4-FFF2-40B4-BE49-F238E27FC236}">
              <a16:creationId xmlns:a16="http://schemas.microsoft.com/office/drawing/2014/main" id="{C41AB567-0148-472C-BE98-0C3FFA6C84F6}"/>
            </a:ext>
          </a:extLst>
        </xdr:cNvPr>
        <xdr:cNvCxnSpPr/>
      </xdr:nvCxnSpPr>
      <xdr:spPr>
        <a:xfrm>
          <a:off x="2633629" y="7343864"/>
          <a:ext cx="20794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275018</xdr:colOff>
      <xdr:row>104</xdr:row>
      <xdr:rowOff>134155</xdr:rowOff>
    </xdr:from>
    <xdr:to>
      <xdr:col>8</xdr:col>
      <xdr:colOff>281725</xdr:colOff>
      <xdr:row>106</xdr:row>
      <xdr:rowOff>120739</xdr:rowOff>
    </xdr:to>
    <xdr:cxnSp macro="">
      <xdr:nvCxnSpPr>
        <xdr:cNvPr id="83" name="Conector recto 82">
          <a:extLst>
            <a:ext uri="{FF2B5EF4-FFF2-40B4-BE49-F238E27FC236}">
              <a16:creationId xmlns:a16="http://schemas.microsoft.com/office/drawing/2014/main" id="{B93B8C39-7227-455E-AD06-7DA5335DAF65}"/>
            </a:ext>
          </a:extLst>
        </xdr:cNvPr>
        <xdr:cNvCxnSpPr/>
      </xdr:nvCxnSpPr>
      <xdr:spPr>
        <a:xfrm flipH="1">
          <a:off x="2834862" y="6920718"/>
          <a:ext cx="6707" cy="42314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228063</xdr:colOff>
      <xdr:row>104</xdr:row>
      <xdr:rowOff>134155</xdr:rowOff>
    </xdr:from>
    <xdr:to>
      <xdr:col>8</xdr:col>
      <xdr:colOff>254894</xdr:colOff>
      <xdr:row>106</xdr:row>
      <xdr:rowOff>100616</xdr:rowOff>
    </xdr:to>
    <xdr:sp macro="" textlink="">
      <xdr:nvSpPr>
        <xdr:cNvPr id="84" name="Rectángulo 83">
          <a:extLst>
            <a:ext uri="{FF2B5EF4-FFF2-40B4-BE49-F238E27FC236}">
              <a16:creationId xmlns:a16="http://schemas.microsoft.com/office/drawing/2014/main" id="{5CE33034-CF26-4F12-9273-C8C57B9CAC96}"/>
            </a:ext>
          </a:extLst>
        </xdr:cNvPr>
        <xdr:cNvSpPr/>
      </xdr:nvSpPr>
      <xdr:spPr>
        <a:xfrm>
          <a:off x="2172751" y="6920718"/>
          <a:ext cx="641987" cy="403023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234841</xdr:colOff>
      <xdr:row>104</xdr:row>
      <xdr:rowOff>140759</xdr:rowOff>
    </xdr:from>
    <xdr:to>
      <xdr:col>14</xdr:col>
      <xdr:colOff>140933</xdr:colOff>
      <xdr:row>105</xdr:row>
      <xdr:rowOff>20053</xdr:rowOff>
    </xdr:to>
    <xdr:sp macro="" textlink="">
      <xdr:nvSpPr>
        <xdr:cNvPr id="85" name="Rectángulo 84">
          <a:extLst>
            <a:ext uri="{FF2B5EF4-FFF2-40B4-BE49-F238E27FC236}">
              <a16:creationId xmlns:a16="http://schemas.microsoft.com/office/drawing/2014/main" id="{973EB174-E876-426E-B701-5400C873FA70}"/>
            </a:ext>
          </a:extLst>
        </xdr:cNvPr>
        <xdr:cNvSpPr/>
      </xdr:nvSpPr>
      <xdr:spPr>
        <a:xfrm>
          <a:off x="3062262" y="18599206"/>
          <a:ext cx="1410039" cy="200136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PE" sz="900">
              <a:latin typeface="Arial Narrow" panose="020B0606020202030204" pitchFamily="34" charset="0"/>
            </a:rPr>
            <a:t>Losa de transición</a:t>
          </a:r>
        </a:p>
      </xdr:txBody>
    </xdr:sp>
    <xdr:clientData/>
  </xdr:twoCellAnchor>
  <xdr:twoCellAnchor>
    <xdr:from>
      <xdr:col>4</xdr:col>
      <xdr:colOff>160167</xdr:colOff>
      <xdr:row>115</xdr:row>
      <xdr:rowOff>155915</xdr:rowOff>
    </xdr:from>
    <xdr:to>
      <xdr:col>4</xdr:col>
      <xdr:colOff>160167</xdr:colOff>
      <xdr:row>117</xdr:row>
      <xdr:rowOff>133237</xdr:rowOff>
    </xdr:to>
    <xdr:cxnSp macro="">
      <xdr:nvCxnSpPr>
        <xdr:cNvPr id="86" name="Conector recto de flecha 85">
          <a:extLst>
            <a:ext uri="{FF2B5EF4-FFF2-40B4-BE49-F238E27FC236}">
              <a16:creationId xmlns:a16="http://schemas.microsoft.com/office/drawing/2014/main" id="{FA62C73D-A3D4-4B93-B811-CB9BB61CEC26}"/>
            </a:ext>
          </a:extLst>
        </xdr:cNvPr>
        <xdr:cNvCxnSpPr/>
      </xdr:nvCxnSpPr>
      <xdr:spPr>
        <a:xfrm flipV="1">
          <a:off x="1450011" y="20763649"/>
          <a:ext cx="0" cy="35435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267890</xdr:colOff>
      <xdr:row>117</xdr:row>
      <xdr:rowOff>178593</xdr:rowOff>
    </xdr:from>
    <xdr:to>
      <xdr:col>11</xdr:col>
      <xdr:colOff>0</xdr:colOff>
      <xdr:row>118</xdr:row>
      <xdr:rowOff>0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1DB8FCA1-20B0-4894-BD5C-C0CBEA1395CC}"/>
            </a:ext>
          </a:extLst>
        </xdr:cNvPr>
        <xdr:cNvCxnSpPr/>
      </xdr:nvCxnSpPr>
      <xdr:spPr>
        <a:xfrm>
          <a:off x="1557734" y="21163359"/>
          <a:ext cx="1924844" cy="99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68036</xdr:colOff>
      <xdr:row>113</xdr:row>
      <xdr:rowOff>56696</xdr:rowOff>
    </xdr:from>
    <xdr:to>
      <xdr:col>6</xdr:col>
      <xdr:colOff>136072</xdr:colOff>
      <xdr:row>113</xdr:row>
      <xdr:rowOff>181429</xdr:rowOff>
    </xdr:to>
    <xdr:sp macro="" textlink="">
      <xdr:nvSpPr>
        <xdr:cNvPr id="88" name="Rectángulo 87">
          <a:extLst>
            <a:ext uri="{FF2B5EF4-FFF2-40B4-BE49-F238E27FC236}">
              <a16:creationId xmlns:a16="http://schemas.microsoft.com/office/drawing/2014/main" id="{CFBCB4E1-B27A-4D76-A63F-9EB7020993E4}"/>
            </a:ext>
          </a:extLst>
        </xdr:cNvPr>
        <xdr:cNvSpPr/>
      </xdr:nvSpPr>
      <xdr:spPr>
        <a:xfrm>
          <a:off x="703036" y="8599430"/>
          <a:ext cx="1377724" cy="124733"/>
        </a:xfrm>
        <a:prstGeom prst="rect">
          <a:avLst/>
        </a:prstGeom>
        <a:pattFill prst="weave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231775</xdr:colOff>
      <xdr:row>112</xdr:row>
      <xdr:rowOff>170448</xdr:rowOff>
    </xdr:from>
    <xdr:to>
      <xdr:col>6</xdr:col>
      <xdr:colOff>20052</xdr:colOff>
      <xdr:row>112</xdr:row>
      <xdr:rowOff>175080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B86F9776-0BBA-4EAD-B5E1-CE0DF221082A}"/>
            </a:ext>
          </a:extLst>
        </xdr:cNvPr>
        <xdr:cNvCxnSpPr/>
      </xdr:nvCxnSpPr>
      <xdr:spPr>
        <a:xfrm flipV="1">
          <a:off x="1495091" y="20343395"/>
          <a:ext cx="450014" cy="463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124732</xdr:colOff>
      <xdr:row>103</xdr:row>
      <xdr:rowOff>113393</xdr:rowOff>
    </xdr:from>
    <xdr:to>
      <xdr:col>8</xdr:col>
      <xdr:colOff>124732</xdr:colOff>
      <xdr:row>106</xdr:row>
      <xdr:rowOff>90714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F6A1DAB-7767-44F9-9F4D-3FC34CAD676D}"/>
            </a:ext>
          </a:extLst>
        </xdr:cNvPr>
        <xdr:cNvCxnSpPr/>
      </xdr:nvCxnSpPr>
      <xdr:spPr>
        <a:xfrm>
          <a:off x="2684576" y="6711440"/>
          <a:ext cx="0" cy="602399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148828</xdr:colOff>
      <xdr:row>104</xdr:row>
      <xdr:rowOff>128984</xdr:rowOff>
    </xdr:from>
    <xdr:to>
      <xdr:col>6</xdr:col>
      <xdr:colOff>158750</xdr:colOff>
      <xdr:row>106</xdr:row>
      <xdr:rowOff>109141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2E82AB8D-AC0F-48E0-B0AF-020F18272754}"/>
            </a:ext>
          </a:extLst>
        </xdr:cNvPr>
        <xdr:cNvCxnSpPr/>
      </xdr:nvCxnSpPr>
      <xdr:spPr>
        <a:xfrm>
          <a:off x="2093516" y="6915547"/>
          <a:ext cx="9922" cy="41671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187705</xdr:colOff>
      <xdr:row>99</xdr:row>
      <xdr:rowOff>203</xdr:rowOff>
    </xdr:from>
    <xdr:to>
      <xdr:col>4</xdr:col>
      <xdr:colOff>187705</xdr:colOff>
      <xdr:row>104</xdr:row>
      <xdr:rowOff>109343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AE886A1-454D-4E57-97DF-CE5E8B47C654}"/>
            </a:ext>
          </a:extLst>
        </xdr:cNvPr>
        <xdr:cNvCxnSpPr/>
      </xdr:nvCxnSpPr>
      <xdr:spPr>
        <a:xfrm flipV="1">
          <a:off x="1509542" y="17893596"/>
          <a:ext cx="0" cy="109079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267891</xdr:colOff>
      <xdr:row>99</xdr:row>
      <xdr:rowOff>89298</xdr:rowOff>
    </xdr:from>
    <xdr:to>
      <xdr:col>8</xdr:col>
      <xdr:colOff>59532</xdr:colOff>
      <xdr:row>99</xdr:row>
      <xdr:rowOff>89298</xdr:rowOff>
    </xdr:to>
    <xdr:cxnSp macro="">
      <xdr:nvCxnSpPr>
        <xdr:cNvPr id="94" name="Conector recto de flecha 93">
          <a:extLst>
            <a:ext uri="{FF2B5EF4-FFF2-40B4-BE49-F238E27FC236}">
              <a16:creationId xmlns:a16="http://schemas.microsoft.com/office/drawing/2014/main" id="{BFFF8468-4D4E-45B8-8AA1-1ED42A72404E}"/>
            </a:ext>
          </a:extLst>
        </xdr:cNvPr>
        <xdr:cNvCxnSpPr/>
      </xdr:nvCxnSpPr>
      <xdr:spPr>
        <a:xfrm flipH="1">
          <a:off x="2520157" y="5933282"/>
          <a:ext cx="714375" cy="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198437</xdr:colOff>
      <xdr:row>104</xdr:row>
      <xdr:rowOff>128984</xdr:rowOff>
    </xdr:from>
    <xdr:to>
      <xdr:col>14</xdr:col>
      <xdr:colOff>208359</xdr:colOff>
      <xdr:row>105</xdr:row>
      <xdr:rowOff>49610</xdr:rowOff>
    </xdr:to>
    <xdr:cxnSp macro="">
      <xdr:nvCxnSpPr>
        <xdr:cNvPr id="95" name="Conector recto de flecha 94">
          <a:extLst>
            <a:ext uri="{FF2B5EF4-FFF2-40B4-BE49-F238E27FC236}">
              <a16:creationId xmlns:a16="http://schemas.microsoft.com/office/drawing/2014/main" id="{15859FB4-6223-4991-A7ED-18E4FB5C109C}"/>
            </a:ext>
          </a:extLst>
        </xdr:cNvPr>
        <xdr:cNvCxnSpPr/>
      </xdr:nvCxnSpPr>
      <xdr:spPr>
        <a:xfrm flipH="1">
          <a:off x="4603750" y="6915547"/>
          <a:ext cx="9922" cy="1686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236811</xdr:colOff>
      <xdr:row>105</xdr:row>
      <xdr:rowOff>30078</xdr:rowOff>
    </xdr:from>
    <xdr:to>
      <xdr:col>14</xdr:col>
      <xdr:colOff>148931</xdr:colOff>
      <xdr:row>105</xdr:row>
      <xdr:rowOff>118853</xdr:rowOff>
    </xdr:to>
    <xdr:sp macro="" textlink="">
      <xdr:nvSpPr>
        <xdr:cNvPr id="96" name="Rectángulo 95">
          <a:extLst>
            <a:ext uri="{FF2B5EF4-FFF2-40B4-BE49-F238E27FC236}">
              <a16:creationId xmlns:a16="http://schemas.microsoft.com/office/drawing/2014/main" id="{E89E2C41-6F05-4C0C-AF5A-CCADF4E65F37}"/>
            </a:ext>
          </a:extLst>
        </xdr:cNvPr>
        <xdr:cNvSpPr/>
      </xdr:nvSpPr>
      <xdr:spPr>
        <a:xfrm>
          <a:off x="3064232" y="18809367"/>
          <a:ext cx="1416067" cy="88775"/>
        </a:xfrm>
        <a:prstGeom prst="rect">
          <a:avLst/>
        </a:prstGeom>
        <a:pattFill prst="weave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230357</xdr:colOff>
      <xdr:row>105</xdr:row>
      <xdr:rowOff>60159</xdr:rowOff>
    </xdr:from>
    <xdr:to>
      <xdr:col>10</xdr:col>
      <xdr:colOff>40105</xdr:colOff>
      <xdr:row>115</xdr:row>
      <xdr:rowOff>138907</xdr:rowOff>
    </xdr:to>
    <xdr:sp macro="" textlink="">
      <xdr:nvSpPr>
        <xdr:cNvPr id="97" name="Rectángulo 96">
          <a:extLst>
            <a:ext uri="{FF2B5EF4-FFF2-40B4-BE49-F238E27FC236}">
              <a16:creationId xmlns:a16="http://schemas.microsoft.com/office/drawing/2014/main" id="{01E82316-B53D-409F-BF0E-74480A5E2C21}"/>
            </a:ext>
          </a:extLst>
        </xdr:cNvPr>
        <xdr:cNvSpPr/>
      </xdr:nvSpPr>
      <xdr:spPr>
        <a:xfrm>
          <a:off x="3057778" y="18839448"/>
          <a:ext cx="110538" cy="2033880"/>
        </a:xfrm>
        <a:prstGeom prst="rect">
          <a:avLst/>
        </a:prstGeom>
        <a:pattFill prst="weave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257969</xdr:colOff>
      <xdr:row>104</xdr:row>
      <xdr:rowOff>218281</xdr:rowOff>
    </xdr:from>
    <xdr:to>
      <xdr:col>2</xdr:col>
      <xdr:colOff>257969</xdr:colOff>
      <xdr:row>118</xdr:row>
      <xdr:rowOff>1</xdr:rowOff>
    </xdr:to>
    <xdr:cxnSp macro="">
      <xdr:nvCxnSpPr>
        <xdr:cNvPr id="98" name="Conector recto de flecha 97">
          <a:extLst>
            <a:ext uri="{FF2B5EF4-FFF2-40B4-BE49-F238E27FC236}">
              <a16:creationId xmlns:a16="http://schemas.microsoft.com/office/drawing/2014/main" id="{D41BC686-6C90-4655-AC54-B0E8A0B8DCC0}"/>
            </a:ext>
          </a:extLst>
        </xdr:cNvPr>
        <xdr:cNvCxnSpPr/>
      </xdr:nvCxnSpPr>
      <xdr:spPr>
        <a:xfrm>
          <a:off x="892969" y="18563828"/>
          <a:ext cx="0" cy="260945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228203</xdr:colOff>
      <xdr:row>104</xdr:row>
      <xdr:rowOff>119062</xdr:rowOff>
    </xdr:from>
    <xdr:to>
      <xdr:col>7</xdr:col>
      <xdr:colOff>9922</xdr:colOff>
      <xdr:row>105</xdr:row>
      <xdr:rowOff>19844</xdr:rowOff>
    </xdr:to>
    <xdr:sp macro="" textlink="">
      <xdr:nvSpPr>
        <xdr:cNvPr id="99" name="Forma libre: forma 98">
          <a:extLst>
            <a:ext uri="{FF2B5EF4-FFF2-40B4-BE49-F238E27FC236}">
              <a16:creationId xmlns:a16="http://schemas.microsoft.com/office/drawing/2014/main" id="{60CBAE71-6FAF-48FB-8144-3DD22286C36D}"/>
            </a:ext>
          </a:extLst>
        </xdr:cNvPr>
        <xdr:cNvSpPr/>
      </xdr:nvSpPr>
      <xdr:spPr>
        <a:xfrm>
          <a:off x="1845469" y="6905625"/>
          <a:ext cx="416719" cy="148828"/>
        </a:xfrm>
        <a:custGeom>
          <a:avLst/>
          <a:gdLst>
            <a:gd name="connsiteX0" fmla="*/ 0 w 317500"/>
            <a:gd name="connsiteY0" fmla="*/ 0 h 128984"/>
            <a:gd name="connsiteX1" fmla="*/ 208359 w 317500"/>
            <a:gd name="connsiteY1" fmla="*/ 59531 h 128984"/>
            <a:gd name="connsiteX2" fmla="*/ 317500 w 317500"/>
            <a:gd name="connsiteY2" fmla="*/ 128984 h 128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500" h="128984">
              <a:moveTo>
                <a:pt x="0" y="0"/>
              </a:moveTo>
              <a:cubicBezTo>
                <a:pt x="77721" y="19017"/>
                <a:pt x="155442" y="38034"/>
                <a:pt x="208359" y="59531"/>
              </a:cubicBezTo>
              <a:cubicBezTo>
                <a:pt x="261276" y="81028"/>
                <a:pt x="284427" y="105833"/>
                <a:pt x="317500" y="128984"/>
              </a:cubicBez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128984</xdr:colOff>
      <xdr:row>105</xdr:row>
      <xdr:rowOff>99219</xdr:rowOff>
    </xdr:from>
    <xdr:to>
      <xdr:col>8</xdr:col>
      <xdr:colOff>271463</xdr:colOff>
      <xdr:row>105</xdr:row>
      <xdr:rowOff>102792</xdr:rowOff>
    </xdr:to>
    <xdr:cxnSp macro="">
      <xdr:nvCxnSpPr>
        <xdr:cNvPr id="100" name="Conector recto de flecha 99">
          <a:extLst>
            <a:ext uri="{FF2B5EF4-FFF2-40B4-BE49-F238E27FC236}">
              <a16:creationId xmlns:a16="http://schemas.microsoft.com/office/drawing/2014/main" id="{3C457F49-D722-449E-AEFD-0C34BC25E909}"/>
            </a:ext>
          </a:extLst>
        </xdr:cNvPr>
        <xdr:cNvCxnSpPr/>
      </xdr:nvCxnSpPr>
      <xdr:spPr>
        <a:xfrm flipH="1" flipV="1">
          <a:off x="2381250" y="7133828"/>
          <a:ext cx="450057" cy="3573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119062</xdr:colOff>
      <xdr:row>105</xdr:row>
      <xdr:rowOff>69454</xdr:rowOff>
    </xdr:from>
    <xdr:to>
      <xdr:col>7</xdr:col>
      <xdr:colOff>128984</xdr:colOff>
      <xdr:row>106</xdr:row>
      <xdr:rowOff>109141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A583A0E2-5F84-41C5-9F62-72F675370018}"/>
            </a:ext>
          </a:extLst>
        </xdr:cNvPr>
        <xdr:cNvCxnSpPr/>
      </xdr:nvCxnSpPr>
      <xdr:spPr>
        <a:xfrm flipH="1">
          <a:off x="2371328" y="7104063"/>
          <a:ext cx="9922" cy="22820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218281</xdr:colOff>
      <xdr:row>105</xdr:row>
      <xdr:rowOff>178594</xdr:rowOff>
    </xdr:from>
    <xdr:to>
      <xdr:col>7</xdr:col>
      <xdr:colOff>69453</xdr:colOff>
      <xdr:row>107</xdr:row>
      <xdr:rowOff>59531</xdr:rowOff>
    </xdr:to>
    <xdr:sp macro="" textlink="">
      <xdr:nvSpPr>
        <xdr:cNvPr id="102" name="Forma libre: forma 101">
          <a:extLst>
            <a:ext uri="{FF2B5EF4-FFF2-40B4-BE49-F238E27FC236}">
              <a16:creationId xmlns:a16="http://schemas.microsoft.com/office/drawing/2014/main" id="{DBCD51F1-ED80-4C87-A405-93B2C8197ABA}"/>
            </a:ext>
          </a:extLst>
        </xdr:cNvPr>
        <xdr:cNvSpPr/>
      </xdr:nvSpPr>
      <xdr:spPr>
        <a:xfrm rot="11430619">
          <a:off x="2162969" y="7213203"/>
          <a:ext cx="158750" cy="257969"/>
        </a:xfrm>
        <a:custGeom>
          <a:avLst/>
          <a:gdLst>
            <a:gd name="connsiteX0" fmla="*/ 158750 w 158750"/>
            <a:gd name="connsiteY0" fmla="*/ 0 h 257969"/>
            <a:gd name="connsiteX1" fmla="*/ 0 w 158750"/>
            <a:gd name="connsiteY1" fmla="*/ 257969 h 257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8750" h="257969">
              <a:moveTo>
                <a:pt x="158750" y="0"/>
              </a:moveTo>
              <a:cubicBezTo>
                <a:pt x="90123" y="99219"/>
                <a:pt x="21497" y="198438"/>
                <a:pt x="0" y="257969"/>
              </a:cubicBezTo>
            </a:path>
          </a:pathLst>
        </a:cu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215447</xdr:colOff>
      <xdr:row>115</xdr:row>
      <xdr:rowOff>68036</xdr:rowOff>
    </xdr:from>
    <xdr:to>
      <xdr:col>11</xdr:col>
      <xdr:colOff>0</xdr:colOff>
      <xdr:row>115</xdr:row>
      <xdr:rowOff>79375</xdr:rowOff>
    </xdr:to>
    <xdr:cxnSp macro="">
      <xdr:nvCxnSpPr>
        <xdr:cNvPr id="103" name="Conector recto de flecha 102">
          <a:extLst>
            <a:ext uri="{FF2B5EF4-FFF2-40B4-BE49-F238E27FC236}">
              <a16:creationId xmlns:a16="http://schemas.microsoft.com/office/drawing/2014/main" id="{7406E28D-889A-4397-9211-BCE97AD859ED}"/>
            </a:ext>
          </a:extLst>
        </xdr:cNvPr>
        <xdr:cNvCxnSpPr/>
      </xdr:nvCxnSpPr>
      <xdr:spPr>
        <a:xfrm>
          <a:off x="3082869" y="8987802"/>
          <a:ext cx="399709" cy="113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68036</xdr:colOff>
      <xdr:row>106</xdr:row>
      <xdr:rowOff>175759</xdr:rowOff>
    </xdr:from>
    <xdr:to>
      <xdr:col>9</xdr:col>
      <xdr:colOff>0</xdr:colOff>
      <xdr:row>106</xdr:row>
      <xdr:rowOff>178594</xdr:rowOff>
    </xdr:to>
    <xdr:cxnSp macro="">
      <xdr:nvCxnSpPr>
        <xdr:cNvPr id="104" name="Conector recto de flecha 103">
          <a:extLst>
            <a:ext uri="{FF2B5EF4-FFF2-40B4-BE49-F238E27FC236}">
              <a16:creationId xmlns:a16="http://schemas.microsoft.com/office/drawing/2014/main" id="{BB14B9BE-4835-4968-9703-C743F4BA6796}"/>
            </a:ext>
          </a:extLst>
        </xdr:cNvPr>
        <xdr:cNvCxnSpPr/>
      </xdr:nvCxnSpPr>
      <xdr:spPr>
        <a:xfrm>
          <a:off x="2627880" y="19037243"/>
          <a:ext cx="239542" cy="28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68036</xdr:colOff>
      <xdr:row>106</xdr:row>
      <xdr:rowOff>128985</xdr:rowOff>
    </xdr:from>
    <xdr:to>
      <xdr:col>8</xdr:col>
      <xdr:colOff>69453</xdr:colOff>
      <xdr:row>115</xdr:row>
      <xdr:rowOff>168088</xdr:rowOff>
    </xdr:to>
    <xdr:cxnSp macro="">
      <xdr:nvCxnSpPr>
        <xdr:cNvPr id="108" name="Conector recto 107">
          <a:extLst>
            <a:ext uri="{FF2B5EF4-FFF2-40B4-BE49-F238E27FC236}">
              <a16:creationId xmlns:a16="http://schemas.microsoft.com/office/drawing/2014/main" id="{5AE08713-ECDE-490D-9C69-5DA30080D5C2}"/>
            </a:ext>
          </a:extLst>
        </xdr:cNvPr>
        <xdr:cNvCxnSpPr/>
      </xdr:nvCxnSpPr>
      <xdr:spPr>
        <a:xfrm flipH="1">
          <a:off x="2621376" y="19283040"/>
          <a:ext cx="1417" cy="1832044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284149</xdr:colOff>
      <xdr:row>106</xdr:row>
      <xdr:rowOff>132557</xdr:rowOff>
    </xdr:from>
    <xdr:to>
      <xdr:col>8</xdr:col>
      <xdr:colOff>291306</xdr:colOff>
      <xdr:row>115</xdr:row>
      <xdr:rowOff>172090</xdr:rowOff>
    </xdr:to>
    <xdr:cxnSp macro="">
      <xdr:nvCxnSpPr>
        <xdr:cNvPr id="109" name="Conector recto 108">
          <a:extLst>
            <a:ext uri="{FF2B5EF4-FFF2-40B4-BE49-F238E27FC236}">
              <a16:creationId xmlns:a16="http://schemas.microsoft.com/office/drawing/2014/main" id="{DBA65DDB-DD0A-4CBE-B71A-27C066361F14}"/>
            </a:ext>
          </a:extLst>
        </xdr:cNvPr>
        <xdr:cNvCxnSpPr/>
      </xdr:nvCxnSpPr>
      <xdr:spPr>
        <a:xfrm flipH="1">
          <a:off x="2837489" y="19286612"/>
          <a:ext cx="7157" cy="1832474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302944</xdr:colOff>
      <xdr:row>115</xdr:row>
      <xdr:rowOff>160084</xdr:rowOff>
    </xdr:from>
    <xdr:to>
      <xdr:col>9</xdr:col>
      <xdr:colOff>224118</xdr:colOff>
      <xdr:row>115</xdr:row>
      <xdr:rowOff>176429</xdr:rowOff>
    </xdr:to>
    <xdr:cxnSp macro="">
      <xdr:nvCxnSpPr>
        <xdr:cNvPr id="111" name="Conector recto 110">
          <a:extLst>
            <a:ext uri="{FF2B5EF4-FFF2-40B4-BE49-F238E27FC236}">
              <a16:creationId xmlns:a16="http://schemas.microsoft.com/office/drawing/2014/main" id="{33621D93-8251-43A3-A3B4-6973210070AC}"/>
            </a:ext>
          </a:extLst>
        </xdr:cNvPr>
        <xdr:cNvCxnSpPr/>
      </xdr:nvCxnSpPr>
      <xdr:spPr>
        <a:xfrm flipV="1">
          <a:off x="1923795" y="21107080"/>
          <a:ext cx="1157823" cy="16345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299811</xdr:colOff>
      <xdr:row>106</xdr:row>
      <xdr:rowOff>189253</xdr:rowOff>
    </xdr:from>
    <xdr:to>
      <xdr:col>9</xdr:col>
      <xdr:colOff>231775</xdr:colOff>
      <xdr:row>106</xdr:row>
      <xdr:rowOff>192088</xdr:rowOff>
    </xdr:to>
    <xdr:cxnSp macro="">
      <xdr:nvCxnSpPr>
        <xdr:cNvPr id="113" name="Conector recto de flecha 112">
          <a:extLst>
            <a:ext uri="{FF2B5EF4-FFF2-40B4-BE49-F238E27FC236}">
              <a16:creationId xmlns:a16="http://schemas.microsoft.com/office/drawing/2014/main" id="{7FC5C0D3-67A2-4175-BB42-9F6A5F10AC1F}"/>
            </a:ext>
          </a:extLst>
        </xdr:cNvPr>
        <xdr:cNvCxnSpPr/>
      </xdr:nvCxnSpPr>
      <xdr:spPr>
        <a:xfrm>
          <a:off x="2859655" y="19050737"/>
          <a:ext cx="239542" cy="28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289889</xdr:colOff>
      <xdr:row>42</xdr:row>
      <xdr:rowOff>737</xdr:rowOff>
    </xdr:from>
    <xdr:to>
      <xdr:col>9</xdr:col>
      <xdr:colOff>221853</xdr:colOff>
      <xdr:row>42</xdr:row>
      <xdr:rowOff>13494</xdr:rowOff>
    </xdr:to>
    <xdr:cxnSp macro="">
      <xdr:nvCxnSpPr>
        <xdr:cNvPr id="114" name="Conector recto de flecha 113">
          <a:extLst>
            <a:ext uri="{FF2B5EF4-FFF2-40B4-BE49-F238E27FC236}">
              <a16:creationId xmlns:a16="http://schemas.microsoft.com/office/drawing/2014/main" id="{EC3F3073-A9DB-4CF0-889F-040FD8AFAFA9}"/>
            </a:ext>
          </a:extLst>
        </xdr:cNvPr>
        <xdr:cNvCxnSpPr/>
      </xdr:nvCxnSpPr>
      <xdr:spPr>
        <a:xfrm>
          <a:off x="2849733" y="7412378"/>
          <a:ext cx="239542" cy="1275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281027</xdr:colOff>
      <xdr:row>107</xdr:row>
      <xdr:rowOff>122277</xdr:rowOff>
    </xdr:from>
    <xdr:to>
      <xdr:col>8</xdr:col>
      <xdr:colOff>72667</xdr:colOff>
      <xdr:row>108</xdr:row>
      <xdr:rowOff>13743</xdr:rowOff>
    </xdr:to>
    <xdr:sp macro="" textlink="">
      <xdr:nvSpPr>
        <xdr:cNvPr id="115" name="Forma libre: forma 114">
          <a:extLst>
            <a:ext uri="{FF2B5EF4-FFF2-40B4-BE49-F238E27FC236}">
              <a16:creationId xmlns:a16="http://schemas.microsoft.com/office/drawing/2014/main" id="{BC3DB88C-DDA3-4284-8080-13C3F16DB1A5}"/>
            </a:ext>
          </a:extLst>
        </xdr:cNvPr>
        <xdr:cNvSpPr/>
      </xdr:nvSpPr>
      <xdr:spPr>
        <a:xfrm>
          <a:off x="2494583" y="19158862"/>
          <a:ext cx="93489" cy="79282"/>
        </a:xfrm>
        <a:custGeom>
          <a:avLst/>
          <a:gdLst>
            <a:gd name="connsiteX0" fmla="*/ 0 w 99219"/>
            <a:gd name="connsiteY0" fmla="*/ 0 h 79982"/>
            <a:gd name="connsiteX1" fmla="*/ 29766 w 99219"/>
            <a:gd name="connsiteY1" fmla="*/ 79375 h 79982"/>
            <a:gd name="connsiteX2" fmla="*/ 99219 w 99219"/>
            <a:gd name="connsiteY2" fmla="*/ 39687 h 799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219" h="79982">
              <a:moveTo>
                <a:pt x="0" y="0"/>
              </a:moveTo>
              <a:cubicBezTo>
                <a:pt x="9922" y="26458"/>
                <a:pt x="13230" y="72761"/>
                <a:pt x="29766" y="79375"/>
              </a:cubicBezTo>
              <a:cubicBezTo>
                <a:pt x="46302" y="85989"/>
                <a:pt x="84336" y="36380"/>
                <a:pt x="99219" y="39687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10</xdr:col>
      <xdr:colOff>45358</xdr:colOff>
      <xdr:row>61</xdr:row>
      <xdr:rowOff>17073</xdr:rowOff>
    </xdr:from>
    <xdr:to>
      <xdr:col>19</xdr:col>
      <xdr:colOff>15286</xdr:colOff>
      <xdr:row>81</xdr:row>
      <xdr:rowOff>205</xdr:rowOff>
    </xdr:to>
    <xdr:pic>
      <xdr:nvPicPr>
        <xdr:cNvPr id="116" name="Imagen 115">
          <a:extLst>
            <a:ext uri="{FF2B5EF4-FFF2-40B4-BE49-F238E27FC236}">
              <a16:creationId xmlns:a16="http://schemas.microsoft.com/office/drawing/2014/main" id="{B0198FC3-C155-44CA-BA31-9EF93BDCC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3055" y="11158112"/>
          <a:ext cx="2955856" cy="3531924"/>
        </a:xfrm>
        <a:prstGeom prst="rect">
          <a:avLst/>
        </a:prstGeom>
        <a:ln w="38100" cap="sq">
          <a:solidFill>
            <a:srgbClr val="FFC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4</xdr:col>
      <xdr:colOff>147410</xdr:colOff>
      <xdr:row>113</xdr:row>
      <xdr:rowOff>24095</xdr:rowOff>
    </xdr:from>
    <xdr:to>
      <xdr:col>4</xdr:col>
      <xdr:colOff>157332</xdr:colOff>
      <xdr:row>115</xdr:row>
      <xdr:rowOff>113392</xdr:rowOff>
    </xdr:to>
    <xdr:cxnSp macro="">
      <xdr:nvCxnSpPr>
        <xdr:cNvPr id="117" name="Conector recto de flecha 116">
          <a:extLst>
            <a:ext uri="{FF2B5EF4-FFF2-40B4-BE49-F238E27FC236}">
              <a16:creationId xmlns:a16="http://schemas.microsoft.com/office/drawing/2014/main" id="{B8C3DBD2-725E-4A6A-BEFB-ADCC70EAECA4}"/>
            </a:ext>
          </a:extLst>
        </xdr:cNvPr>
        <xdr:cNvCxnSpPr/>
      </xdr:nvCxnSpPr>
      <xdr:spPr>
        <a:xfrm flipV="1">
          <a:off x="1440089" y="20616238"/>
          <a:ext cx="9922" cy="4748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220577</xdr:colOff>
      <xdr:row>129</xdr:row>
      <xdr:rowOff>130343</xdr:rowOff>
    </xdr:from>
    <xdr:to>
      <xdr:col>13</xdr:col>
      <xdr:colOff>27481</xdr:colOff>
      <xdr:row>132</xdr:row>
      <xdr:rowOff>160329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id="{D4218D82-3427-4214-A7EF-70C40CE28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209" y="23401422"/>
          <a:ext cx="3472069" cy="601487"/>
        </a:xfrm>
        <a:prstGeom prst="rect">
          <a:avLst/>
        </a:prstGeom>
        <a:ln w="28575" cap="sq">
          <a:solidFill>
            <a:srgbClr val="FFC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oneCellAnchor>
    <xdr:from>
      <xdr:col>2</xdr:col>
      <xdr:colOff>154406</xdr:colOff>
      <xdr:row>141</xdr:row>
      <xdr:rowOff>9524</xdr:rowOff>
    </xdr:from>
    <xdr:ext cx="1808316" cy="5844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3" name="CuadroTexto 122">
              <a:extLst>
                <a:ext uri="{FF2B5EF4-FFF2-40B4-BE49-F238E27FC236}">
                  <a16:creationId xmlns:a16="http://schemas.microsoft.com/office/drawing/2014/main" id="{45B1B11F-A38D-4349-A1A2-0AE03B8BFABB}"/>
                </a:ext>
              </a:extLst>
            </xdr:cNvPr>
            <xdr:cNvSpPr txBox="1"/>
          </xdr:nvSpPr>
          <xdr:spPr>
            <a:xfrm>
              <a:off x="776038" y="24624129"/>
              <a:ext cx="1808316" cy="584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ɼ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ad>
                              <m:radPr>
                                <m:degHide m:val="on"/>
                                <m:ctrlP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f>
                                  <m:fPr>
                                    <m:ctrlP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𝑠𝑒𝑛</m:t>
                                    </m:r>
                                    <m:d>
                                      <m:dPr>
                                        <m:ctrlP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l-G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ϕ</m:t>
                                        </m:r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+</m:t>
                                        </m:r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𝛿</m:t>
                                        </m:r>
                                      </m:e>
                                    </m:d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𝑠𝑒𝑛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l-G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ϕ</m:t>
                                    </m:r>
                                  </m:num>
                                  <m:den>
                                    <m:func>
                                      <m:funcPr>
                                        <m:ctrlP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uncPr>
                                      <m:fName>
                                        <m:r>
                                          <m:rPr>
                                            <m:sty m:val="p"/>
                                          </m:rPr>
                                          <a:rPr lang="es-E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cos</m:t>
                                        </m:r>
                                      </m:fName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𝛿</m:t>
                                        </m:r>
                                      </m:e>
                                    </m:func>
                                  </m:den>
                                </m:f>
                              </m:e>
                            </m:rad>
                          </m:e>
                        </m:d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23" name="CuadroTexto 122">
              <a:extLst>
                <a:ext uri="{FF2B5EF4-FFF2-40B4-BE49-F238E27FC236}">
                  <a16:creationId xmlns:a16="http://schemas.microsoft.com/office/drawing/2014/main" id="{45B1B11F-A38D-4349-A1A2-0AE03B8BFABB}"/>
                </a:ext>
              </a:extLst>
            </xdr:cNvPr>
            <xdr:cNvSpPr txBox="1"/>
          </xdr:nvSpPr>
          <xdr:spPr>
            <a:xfrm>
              <a:off x="776038" y="24624129"/>
              <a:ext cx="1808316" cy="584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ɼ</a:t>
              </a:r>
              <a:r>
                <a:rPr lang="es-ES" sz="11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[1+√(𝑠𝑒𝑛(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+𝛿)𝑠𝑒𝑛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/cos⁡𝛿 )]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2</xdr:col>
      <xdr:colOff>164432</xdr:colOff>
      <xdr:row>134</xdr:row>
      <xdr:rowOff>189997</xdr:rowOff>
    </xdr:from>
    <xdr:ext cx="2284215" cy="5714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4" name="CuadroTexto 123">
              <a:extLst>
                <a:ext uri="{FF2B5EF4-FFF2-40B4-BE49-F238E27FC236}">
                  <a16:creationId xmlns:a16="http://schemas.microsoft.com/office/drawing/2014/main" id="{665D0976-E4A0-4EF5-8541-A57B3BB270B6}"/>
                </a:ext>
              </a:extLst>
            </xdr:cNvPr>
            <xdr:cNvSpPr txBox="1"/>
          </xdr:nvSpPr>
          <xdr:spPr>
            <a:xfrm>
              <a:off x="786064" y="24413576"/>
              <a:ext cx="2284215" cy="5714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ɼ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ad>
                              <m:radPr>
                                <m:degHide m:val="on"/>
                                <m:ctrlP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f>
                                  <m:fPr>
                                    <m:ctrlP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𝑠𝑒𝑛</m:t>
                                    </m:r>
                                    <m:d>
                                      <m:dPr>
                                        <m:ctrlP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l-G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ϕ</m:t>
                                        </m:r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+</m:t>
                                        </m:r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𝛿</m:t>
                                        </m:r>
                                      </m:e>
                                    </m:d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𝑠𝑒𝑛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(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l-G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ϕ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+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𝛽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)</m:t>
                                    </m:r>
                                  </m:num>
                                  <m:den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𝑠𝑒𝑛</m:t>
                                    </m:r>
                                    <m:d>
                                      <m:dPr>
                                        <m:ctrlP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𝜃</m:t>
                                        </m:r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−</m:t>
                                        </m:r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𝛿</m:t>
                                        </m:r>
                                      </m:e>
                                    </m:d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∗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𝑠𝑒𝑛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(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𝜃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+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𝛽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)</m:t>
                                    </m:r>
                                  </m:den>
                                </m:f>
                              </m:e>
                            </m:rad>
                          </m:e>
                        </m:d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24" name="CuadroTexto 123">
              <a:extLst>
                <a:ext uri="{FF2B5EF4-FFF2-40B4-BE49-F238E27FC236}">
                  <a16:creationId xmlns:a16="http://schemas.microsoft.com/office/drawing/2014/main" id="{665D0976-E4A0-4EF5-8541-A57B3BB270B6}"/>
                </a:ext>
              </a:extLst>
            </xdr:cNvPr>
            <xdr:cNvSpPr txBox="1"/>
          </xdr:nvSpPr>
          <xdr:spPr>
            <a:xfrm>
              <a:off x="786064" y="24413576"/>
              <a:ext cx="2284215" cy="5714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ɼ</a:t>
              </a:r>
              <a:r>
                <a:rPr lang="es-ES" sz="11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[1+√((𝑠𝑒𝑛(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+𝛿)𝑠𝑒𝑛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𝛽)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𝑠𝑒𝑛(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𝜃−𝛿)∗𝑠𝑒𝑛(𝜃+𝛽)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))]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2</xdr:col>
      <xdr:colOff>134353</xdr:colOff>
      <xdr:row>148</xdr:row>
      <xdr:rowOff>69682</xdr:rowOff>
    </xdr:from>
    <xdr:ext cx="1620508" cy="3701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5" name="CuadroTexto 124">
              <a:extLst>
                <a:ext uri="{FF2B5EF4-FFF2-40B4-BE49-F238E27FC236}">
                  <a16:creationId xmlns:a16="http://schemas.microsoft.com/office/drawing/2014/main" id="{E6A3E38E-AB94-401D-875C-D0E6EA3DBDEF}"/>
                </a:ext>
              </a:extLst>
            </xdr:cNvPr>
            <xdr:cNvSpPr txBox="1"/>
          </xdr:nvSpPr>
          <xdr:spPr>
            <a:xfrm>
              <a:off x="755985" y="26789814"/>
              <a:ext cx="1620508" cy="3701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𝑠𝑒</m:t>
                        </m:r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  <m:sup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d>
                          <m:d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  <m:r>
                              <a:rPr lang="es-E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el-G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ϕ</m:t>
                            </m:r>
                          </m:e>
                        </m:d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ɼ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𝑠𝑒𝑛</m:t>
                                </m:r>
                              </m:e>
                              <m:sup>
                                <m: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𝜃</m:t>
                            </m:r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  </m:t>
                            </m:r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𝑠𝑒𝑛</m:t>
                            </m:r>
                            <m:d>
                              <m:dPr>
                                <m:ctrlP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𝜃</m:t>
                                </m:r>
                                <m: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s-E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𝛿</m:t>
                                </m:r>
                              </m:e>
                            </m:d>
                          </m:e>
                        </m:d>
                      </m:den>
                    </m:f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25" name="CuadroTexto 124">
              <a:extLst>
                <a:ext uri="{FF2B5EF4-FFF2-40B4-BE49-F238E27FC236}">
                  <a16:creationId xmlns:a16="http://schemas.microsoft.com/office/drawing/2014/main" id="{E6A3E38E-AB94-401D-875C-D0E6EA3DBDEF}"/>
                </a:ext>
              </a:extLst>
            </xdr:cNvPr>
            <xdr:cNvSpPr txBox="1"/>
          </xdr:nvSpPr>
          <xdr:spPr>
            <a:xfrm>
              <a:off x="755985" y="26789814"/>
              <a:ext cx="1620508" cy="3701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𝑘_𝑎</a:t>
              </a:r>
              <a:r>
                <a:rPr lang="es-ES" sz="11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s-ES" sz="1100" b="0" i="0">
                  <a:latin typeface="Cambria Math" panose="02040503050406030204" pitchFamily="18" charset="0"/>
                </a:rPr>
                <a:t>𝑠𝑒𝑛^2 (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𝜃+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ϕ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))/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ɼ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[〖𝑠𝑒𝑛〗^2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𝜃  𝑠𝑒𝑛(𝜃−𝛿)] 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2</xdr:col>
      <xdr:colOff>246648</xdr:colOff>
      <xdr:row>153</xdr:row>
      <xdr:rowOff>21556</xdr:rowOff>
    </xdr:from>
    <xdr:ext cx="749949" cy="3682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8" name="CuadroTexto 127">
              <a:extLst>
                <a:ext uri="{FF2B5EF4-FFF2-40B4-BE49-F238E27FC236}">
                  <a16:creationId xmlns:a16="http://schemas.microsoft.com/office/drawing/2014/main" id="{B8E6600B-EC09-4DF8-9AE1-92838D5B2619}"/>
                </a:ext>
              </a:extLst>
            </xdr:cNvPr>
            <xdr:cNvSpPr txBox="1"/>
          </xdr:nvSpPr>
          <xdr:spPr>
            <a:xfrm>
              <a:off x="868280" y="27613977"/>
              <a:ext cx="749949" cy="3682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s-E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𝑐𝑜𝑠</m:t>
                            </m:r>
                          </m:e>
                          <m:sup>
                            <m:r>
                              <a:rPr lang="es-E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ϕ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ɼ</m:t>
                        </m:r>
                        <m:func>
                          <m:func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ES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cos</m:t>
                            </m:r>
                          </m:fName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𝛿</m:t>
                            </m:r>
                          </m:e>
                        </m:func>
                      </m:den>
                    </m:f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28" name="CuadroTexto 127">
              <a:extLst>
                <a:ext uri="{FF2B5EF4-FFF2-40B4-BE49-F238E27FC236}">
                  <a16:creationId xmlns:a16="http://schemas.microsoft.com/office/drawing/2014/main" id="{B8E6600B-EC09-4DF8-9AE1-92838D5B2619}"/>
                </a:ext>
              </a:extLst>
            </xdr:cNvPr>
            <xdr:cNvSpPr txBox="1"/>
          </xdr:nvSpPr>
          <xdr:spPr>
            <a:xfrm>
              <a:off x="868280" y="27613977"/>
              <a:ext cx="749949" cy="3682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𝑘_𝑎</a:t>
              </a:r>
              <a:r>
                <a:rPr lang="es-ES" sz="11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(〖𝑐𝑜𝑠〗^2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ϕ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)/(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ɼ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cos⁡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𝛿 )</a:t>
              </a:r>
              <a:endParaRPr lang="es-PE" sz="1100"/>
            </a:p>
          </xdr:txBody>
        </xdr:sp>
      </mc:Fallback>
    </mc:AlternateContent>
    <xdr:clientData/>
  </xdr:oneCellAnchor>
  <xdr:twoCellAnchor>
    <xdr:from>
      <xdr:col>10</xdr:col>
      <xdr:colOff>92242</xdr:colOff>
      <xdr:row>105</xdr:row>
      <xdr:rowOff>52137</xdr:rowOff>
    </xdr:from>
    <xdr:to>
      <xdr:col>10</xdr:col>
      <xdr:colOff>102268</xdr:colOff>
      <xdr:row>106</xdr:row>
      <xdr:rowOff>222584</xdr:rowOff>
    </xdr:to>
    <xdr:cxnSp macro="">
      <xdr:nvCxnSpPr>
        <xdr:cNvPr id="107" name="Conector recto de flecha 106">
          <a:extLst>
            <a:ext uri="{FF2B5EF4-FFF2-40B4-BE49-F238E27FC236}">
              <a16:creationId xmlns:a16="http://schemas.microsoft.com/office/drawing/2014/main" id="{64FC11BD-2061-4956-8237-8789066A6578}"/>
            </a:ext>
          </a:extLst>
        </xdr:cNvPr>
        <xdr:cNvCxnSpPr/>
      </xdr:nvCxnSpPr>
      <xdr:spPr>
        <a:xfrm flipH="1">
          <a:off x="3220453" y="18831426"/>
          <a:ext cx="10026" cy="360947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240632</xdr:colOff>
      <xdr:row>104</xdr:row>
      <xdr:rowOff>120316</xdr:rowOff>
    </xdr:from>
    <xdr:to>
      <xdr:col>10</xdr:col>
      <xdr:colOff>240631</xdr:colOff>
      <xdr:row>105</xdr:row>
      <xdr:rowOff>10027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53D41A3-D0F3-41A1-BB9C-22CA5910914B}"/>
            </a:ext>
          </a:extLst>
        </xdr:cNvPr>
        <xdr:cNvSpPr/>
      </xdr:nvSpPr>
      <xdr:spPr>
        <a:xfrm>
          <a:off x="3068053" y="18578763"/>
          <a:ext cx="300789" cy="2105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110289</xdr:colOff>
      <xdr:row>103</xdr:row>
      <xdr:rowOff>20053</xdr:rowOff>
    </xdr:from>
    <xdr:to>
      <xdr:col>10</xdr:col>
      <xdr:colOff>120315</xdr:colOff>
      <xdr:row>104</xdr:row>
      <xdr:rowOff>190500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80C71115-B6DF-4E6D-8AF5-B67B8C6CE6B1}"/>
            </a:ext>
          </a:extLst>
        </xdr:cNvPr>
        <xdr:cNvCxnSpPr/>
      </xdr:nvCxnSpPr>
      <xdr:spPr>
        <a:xfrm flipH="1">
          <a:off x="3238500" y="18288000"/>
          <a:ext cx="10026" cy="360947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20053</xdr:colOff>
      <xdr:row>109</xdr:row>
      <xdr:rowOff>80211</xdr:rowOff>
    </xdr:from>
    <xdr:to>
      <xdr:col>9</xdr:col>
      <xdr:colOff>201888</xdr:colOff>
      <xdr:row>110</xdr:row>
      <xdr:rowOff>78788</xdr:rowOff>
    </xdr:to>
    <xdr:sp macro="" textlink="">
      <xdr:nvSpPr>
        <xdr:cNvPr id="110" name="Elipse 109">
          <a:extLst>
            <a:ext uri="{FF2B5EF4-FFF2-40B4-BE49-F238E27FC236}">
              <a16:creationId xmlns:a16="http://schemas.microsoft.com/office/drawing/2014/main" id="{90EBCDD3-F20C-4960-B063-95BCBAB16703}"/>
            </a:ext>
          </a:extLst>
        </xdr:cNvPr>
        <xdr:cNvSpPr/>
      </xdr:nvSpPr>
      <xdr:spPr>
        <a:xfrm>
          <a:off x="2847474" y="19671632"/>
          <a:ext cx="181835" cy="189077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solidFill>
                <a:srgbClr val="FF0000"/>
              </a:solidFill>
            </a:rPr>
            <a:t>3</a:t>
          </a:r>
        </a:p>
      </xdr:txBody>
    </xdr:sp>
    <xdr:clientData/>
  </xdr:twoCellAnchor>
  <xdr:twoCellAnchor>
    <xdr:from>
      <xdr:col>8</xdr:col>
      <xdr:colOff>82215</xdr:colOff>
      <xdr:row>111</xdr:row>
      <xdr:rowOff>62164</xdr:rowOff>
    </xdr:from>
    <xdr:to>
      <xdr:col>8</xdr:col>
      <xdr:colOff>264050</xdr:colOff>
      <xdr:row>112</xdr:row>
      <xdr:rowOff>60741</xdr:rowOff>
    </xdr:to>
    <xdr:sp macro="" textlink="">
      <xdr:nvSpPr>
        <xdr:cNvPr id="112" name="Elipse 111">
          <a:extLst>
            <a:ext uri="{FF2B5EF4-FFF2-40B4-BE49-F238E27FC236}">
              <a16:creationId xmlns:a16="http://schemas.microsoft.com/office/drawing/2014/main" id="{2AB99CFD-44CA-41C3-9053-4EDE601DB6C9}"/>
            </a:ext>
          </a:extLst>
        </xdr:cNvPr>
        <xdr:cNvSpPr/>
      </xdr:nvSpPr>
      <xdr:spPr>
        <a:xfrm>
          <a:off x="2608847" y="20034585"/>
          <a:ext cx="181835" cy="189077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7</xdr:col>
      <xdr:colOff>34089</xdr:colOff>
      <xdr:row>112</xdr:row>
      <xdr:rowOff>144379</xdr:rowOff>
    </xdr:from>
    <xdr:to>
      <xdr:col>7</xdr:col>
      <xdr:colOff>215924</xdr:colOff>
      <xdr:row>113</xdr:row>
      <xdr:rowOff>142956</xdr:rowOff>
    </xdr:to>
    <xdr:sp macro="" textlink="">
      <xdr:nvSpPr>
        <xdr:cNvPr id="118" name="Elipse 117">
          <a:extLst>
            <a:ext uri="{FF2B5EF4-FFF2-40B4-BE49-F238E27FC236}">
              <a16:creationId xmlns:a16="http://schemas.microsoft.com/office/drawing/2014/main" id="{0FF9F885-B506-46B2-8ECA-94D5BC55AF3E}"/>
            </a:ext>
          </a:extLst>
        </xdr:cNvPr>
        <xdr:cNvSpPr/>
      </xdr:nvSpPr>
      <xdr:spPr>
        <a:xfrm>
          <a:off x="2259931" y="20307300"/>
          <a:ext cx="181835" cy="189077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7</xdr:col>
      <xdr:colOff>206542</xdr:colOff>
      <xdr:row>116</xdr:row>
      <xdr:rowOff>46121</xdr:rowOff>
    </xdr:from>
    <xdr:to>
      <xdr:col>8</xdr:col>
      <xdr:colOff>87587</xdr:colOff>
      <xdr:row>117</xdr:row>
      <xdr:rowOff>44698</xdr:rowOff>
    </xdr:to>
    <xdr:sp macro="" textlink="">
      <xdr:nvSpPr>
        <xdr:cNvPr id="119" name="Elipse 118">
          <a:extLst>
            <a:ext uri="{FF2B5EF4-FFF2-40B4-BE49-F238E27FC236}">
              <a16:creationId xmlns:a16="http://schemas.microsoft.com/office/drawing/2014/main" id="{F5358416-66C8-438F-B604-506C2470970C}"/>
            </a:ext>
          </a:extLst>
        </xdr:cNvPr>
        <xdr:cNvSpPr/>
      </xdr:nvSpPr>
      <xdr:spPr>
        <a:xfrm>
          <a:off x="2432384" y="20971042"/>
          <a:ext cx="181835" cy="189077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solidFill>
                <a:srgbClr val="FF0000"/>
              </a:solidFill>
            </a:rPr>
            <a:t>4</a:t>
          </a:r>
        </a:p>
      </xdr:txBody>
    </xdr:sp>
    <xdr:clientData/>
  </xdr:twoCellAnchor>
  <xdr:twoCellAnchor>
    <xdr:from>
      <xdr:col>10</xdr:col>
      <xdr:colOff>144379</xdr:colOff>
      <xdr:row>110</xdr:row>
      <xdr:rowOff>54142</xdr:rowOff>
    </xdr:from>
    <xdr:to>
      <xdr:col>10</xdr:col>
      <xdr:colOff>154405</xdr:colOff>
      <xdr:row>112</xdr:row>
      <xdr:rowOff>34089</xdr:rowOff>
    </xdr:to>
    <xdr:cxnSp macro="">
      <xdr:nvCxnSpPr>
        <xdr:cNvPr id="121" name="Conector recto de flecha 120">
          <a:extLst>
            <a:ext uri="{FF2B5EF4-FFF2-40B4-BE49-F238E27FC236}">
              <a16:creationId xmlns:a16="http://schemas.microsoft.com/office/drawing/2014/main" id="{B3220492-16D5-4431-989E-10B86002D36F}"/>
            </a:ext>
          </a:extLst>
        </xdr:cNvPr>
        <xdr:cNvCxnSpPr/>
      </xdr:nvCxnSpPr>
      <xdr:spPr>
        <a:xfrm flipH="1">
          <a:off x="3272590" y="19836063"/>
          <a:ext cx="10026" cy="360947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70092</xdr:colOff>
      <xdr:row>113</xdr:row>
      <xdr:rowOff>132102</xdr:rowOff>
    </xdr:from>
    <xdr:to>
      <xdr:col>6</xdr:col>
      <xdr:colOff>80118</xdr:colOff>
      <xdr:row>115</xdr:row>
      <xdr:rowOff>102444</xdr:rowOff>
    </xdr:to>
    <xdr:cxnSp macro="">
      <xdr:nvCxnSpPr>
        <xdr:cNvPr id="126" name="Conector recto de flecha 125">
          <a:extLst>
            <a:ext uri="{FF2B5EF4-FFF2-40B4-BE49-F238E27FC236}">
              <a16:creationId xmlns:a16="http://schemas.microsoft.com/office/drawing/2014/main" id="{C7D9A6EE-51A6-4EFE-BBC8-F11F961E82AE}"/>
            </a:ext>
          </a:extLst>
        </xdr:cNvPr>
        <xdr:cNvCxnSpPr/>
      </xdr:nvCxnSpPr>
      <xdr:spPr>
        <a:xfrm flipH="1">
          <a:off x="2015113" y="20686892"/>
          <a:ext cx="10026" cy="362548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90212</xdr:colOff>
      <xdr:row>114</xdr:row>
      <xdr:rowOff>88230</xdr:rowOff>
    </xdr:from>
    <xdr:to>
      <xdr:col>5</xdr:col>
      <xdr:colOff>100238</xdr:colOff>
      <xdr:row>116</xdr:row>
      <xdr:rowOff>58151</xdr:rowOff>
    </xdr:to>
    <xdr:cxnSp macro="">
      <xdr:nvCxnSpPr>
        <xdr:cNvPr id="127" name="Conector recto de flecha 126">
          <a:extLst>
            <a:ext uri="{FF2B5EF4-FFF2-40B4-BE49-F238E27FC236}">
              <a16:creationId xmlns:a16="http://schemas.microsoft.com/office/drawing/2014/main" id="{A4F3CC45-9243-4C40-927F-59293E157BBA}"/>
            </a:ext>
          </a:extLst>
        </xdr:cNvPr>
        <xdr:cNvCxnSpPr/>
      </xdr:nvCxnSpPr>
      <xdr:spPr>
        <a:xfrm flipH="1">
          <a:off x="1711063" y="20843125"/>
          <a:ext cx="10026" cy="362127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30080</xdr:colOff>
      <xdr:row>111</xdr:row>
      <xdr:rowOff>80209</xdr:rowOff>
    </xdr:from>
    <xdr:to>
      <xdr:col>8</xdr:col>
      <xdr:colOff>40106</xdr:colOff>
      <xdr:row>113</xdr:row>
      <xdr:rowOff>50130</xdr:rowOff>
    </xdr:to>
    <xdr:cxnSp macro="">
      <xdr:nvCxnSpPr>
        <xdr:cNvPr id="129" name="Conector recto de flecha 128">
          <a:extLst>
            <a:ext uri="{FF2B5EF4-FFF2-40B4-BE49-F238E27FC236}">
              <a16:creationId xmlns:a16="http://schemas.microsoft.com/office/drawing/2014/main" id="{985B2328-E1DA-411D-ACCD-9C44016B4007}"/>
            </a:ext>
          </a:extLst>
        </xdr:cNvPr>
        <xdr:cNvCxnSpPr/>
      </xdr:nvCxnSpPr>
      <xdr:spPr>
        <a:xfrm flipH="1">
          <a:off x="2556712" y="20052630"/>
          <a:ext cx="10026" cy="360947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16008</xdr:colOff>
      <xdr:row>112</xdr:row>
      <xdr:rowOff>174349</xdr:rowOff>
    </xdr:from>
    <xdr:to>
      <xdr:col>6</xdr:col>
      <xdr:colOff>224479</xdr:colOff>
      <xdr:row>112</xdr:row>
      <xdr:rowOff>180094</xdr:rowOff>
    </xdr:to>
    <xdr:cxnSp macro="">
      <xdr:nvCxnSpPr>
        <xdr:cNvPr id="132" name="Conector recto de flecha 131">
          <a:extLst>
            <a:ext uri="{FF2B5EF4-FFF2-40B4-BE49-F238E27FC236}">
              <a16:creationId xmlns:a16="http://schemas.microsoft.com/office/drawing/2014/main" id="{58D5D622-A807-47E5-9827-267A9052CA06}"/>
            </a:ext>
          </a:extLst>
        </xdr:cNvPr>
        <xdr:cNvCxnSpPr/>
      </xdr:nvCxnSpPr>
      <xdr:spPr>
        <a:xfrm flipV="1">
          <a:off x="1961029" y="20529034"/>
          <a:ext cx="208471" cy="57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296883</xdr:colOff>
      <xdr:row>118</xdr:row>
      <xdr:rowOff>191737</xdr:rowOff>
    </xdr:from>
    <xdr:to>
      <xdr:col>8</xdr:col>
      <xdr:colOff>24740</xdr:colOff>
      <xdr:row>119</xdr:row>
      <xdr:rowOff>12370</xdr:rowOff>
    </xdr:to>
    <xdr:cxnSp macro="">
      <xdr:nvCxnSpPr>
        <xdr:cNvPr id="135" name="Conector recto de flecha 134">
          <a:extLst>
            <a:ext uri="{FF2B5EF4-FFF2-40B4-BE49-F238E27FC236}">
              <a16:creationId xmlns:a16="http://schemas.microsoft.com/office/drawing/2014/main" id="{57925136-5BC6-4BA8-9CD3-248802DDA372}"/>
            </a:ext>
          </a:extLst>
        </xdr:cNvPr>
        <xdr:cNvCxnSpPr/>
      </xdr:nvCxnSpPr>
      <xdr:spPr>
        <a:xfrm>
          <a:off x="1905000" y="21653912"/>
          <a:ext cx="655617" cy="1237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22513</xdr:colOff>
      <xdr:row>118</xdr:row>
      <xdr:rowOff>189510</xdr:rowOff>
    </xdr:from>
    <xdr:to>
      <xdr:col>9</xdr:col>
      <xdr:colOff>24740</xdr:colOff>
      <xdr:row>119</xdr:row>
      <xdr:rowOff>12370</xdr:rowOff>
    </xdr:to>
    <xdr:cxnSp macro="">
      <xdr:nvCxnSpPr>
        <xdr:cNvPr id="136" name="Conector recto de flecha 135">
          <a:extLst>
            <a:ext uri="{FF2B5EF4-FFF2-40B4-BE49-F238E27FC236}">
              <a16:creationId xmlns:a16="http://schemas.microsoft.com/office/drawing/2014/main" id="{5DE84B3C-1206-4B0F-A1EE-E9DB902C7851}"/>
            </a:ext>
          </a:extLst>
        </xdr:cNvPr>
        <xdr:cNvCxnSpPr/>
      </xdr:nvCxnSpPr>
      <xdr:spPr>
        <a:xfrm>
          <a:off x="2558390" y="21651685"/>
          <a:ext cx="305295" cy="1459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</xdr:colOff>
      <xdr:row>119</xdr:row>
      <xdr:rowOff>14102</xdr:rowOff>
    </xdr:from>
    <xdr:to>
      <xdr:col>9</xdr:col>
      <xdr:colOff>265958</xdr:colOff>
      <xdr:row>119</xdr:row>
      <xdr:rowOff>18556</xdr:rowOff>
    </xdr:to>
    <xdr:cxnSp macro="">
      <xdr:nvCxnSpPr>
        <xdr:cNvPr id="137" name="Conector recto de flecha 136">
          <a:extLst>
            <a:ext uri="{FF2B5EF4-FFF2-40B4-BE49-F238E27FC236}">
              <a16:creationId xmlns:a16="http://schemas.microsoft.com/office/drawing/2014/main" id="{6ED4298C-6F2D-4C23-ACFB-8C2176EC74FB}"/>
            </a:ext>
          </a:extLst>
        </xdr:cNvPr>
        <xdr:cNvCxnSpPr/>
      </xdr:nvCxnSpPr>
      <xdr:spPr>
        <a:xfrm>
          <a:off x="2840676" y="21668014"/>
          <a:ext cx="264227" cy="445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235032</xdr:colOff>
      <xdr:row>117</xdr:row>
      <xdr:rowOff>68036</xdr:rowOff>
    </xdr:from>
    <xdr:to>
      <xdr:col>4</xdr:col>
      <xdr:colOff>309253</xdr:colOff>
      <xdr:row>117</xdr:row>
      <xdr:rowOff>136072</xdr:rowOff>
    </xdr:to>
    <xdr:sp macro="" textlink="">
      <xdr:nvSpPr>
        <xdr:cNvPr id="138" name="Elipse 137">
          <a:extLst>
            <a:ext uri="{FF2B5EF4-FFF2-40B4-BE49-F238E27FC236}">
              <a16:creationId xmlns:a16="http://schemas.microsoft.com/office/drawing/2014/main" id="{AD4D6636-F4B3-4615-A50D-84EE5EF47EB7}"/>
            </a:ext>
          </a:extLst>
        </xdr:cNvPr>
        <xdr:cNvSpPr/>
      </xdr:nvSpPr>
      <xdr:spPr>
        <a:xfrm>
          <a:off x="1502970" y="21338474"/>
          <a:ext cx="74221" cy="6803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61851</xdr:colOff>
      <xdr:row>117</xdr:row>
      <xdr:rowOff>43296</xdr:rowOff>
    </xdr:from>
    <xdr:to>
      <xdr:col>4</xdr:col>
      <xdr:colOff>253588</xdr:colOff>
      <xdr:row>118</xdr:row>
      <xdr:rowOff>68036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984EA421-CF2D-4EB3-A1C1-8B6A488A8E1E}"/>
            </a:ext>
          </a:extLst>
        </xdr:cNvPr>
        <xdr:cNvSpPr txBox="1"/>
      </xdr:nvSpPr>
      <xdr:spPr>
        <a:xfrm>
          <a:off x="1329789" y="21313734"/>
          <a:ext cx="191737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11</xdr:col>
      <xdr:colOff>166998</xdr:colOff>
      <xdr:row>105</xdr:row>
      <xdr:rowOff>22793</xdr:rowOff>
    </xdr:from>
    <xdr:to>
      <xdr:col>12</xdr:col>
      <xdr:colOff>90080</xdr:colOff>
      <xdr:row>117</xdr:row>
      <xdr:rowOff>111773</xdr:rowOff>
    </xdr:to>
    <xdr:sp macro="" textlink="">
      <xdr:nvSpPr>
        <xdr:cNvPr id="151" name="Rectángulo 150">
          <a:extLst>
            <a:ext uri="{FF2B5EF4-FFF2-40B4-BE49-F238E27FC236}">
              <a16:creationId xmlns:a16="http://schemas.microsoft.com/office/drawing/2014/main" id="{57FF54D7-4A0B-4CBF-BAA6-2C0F953BD461}"/>
            </a:ext>
          </a:extLst>
        </xdr:cNvPr>
        <xdr:cNvSpPr/>
      </xdr:nvSpPr>
      <xdr:spPr>
        <a:xfrm rot="16200000">
          <a:off x="2540624" y="19891986"/>
          <a:ext cx="2450792" cy="229242"/>
        </a:xfrm>
        <a:prstGeom prst="rect">
          <a:avLst/>
        </a:prstGeom>
        <a:pattFill prst="ltHorz">
          <a:fgClr>
            <a:schemeClr val="accent1"/>
          </a:fgClr>
          <a:bgClr>
            <a:schemeClr val="bg1"/>
          </a:bgClr>
        </a:patt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169507</xdr:colOff>
      <xdr:row>105</xdr:row>
      <xdr:rowOff>27651</xdr:rowOff>
    </xdr:from>
    <xdr:to>
      <xdr:col>13</xdr:col>
      <xdr:colOff>122808</xdr:colOff>
      <xdr:row>117</xdr:row>
      <xdr:rowOff>111773</xdr:rowOff>
    </xdr:to>
    <xdr:sp macro="" textlink="">
      <xdr:nvSpPr>
        <xdr:cNvPr id="152" name="Rectángulo 151">
          <a:extLst>
            <a:ext uri="{FF2B5EF4-FFF2-40B4-BE49-F238E27FC236}">
              <a16:creationId xmlns:a16="http://schemas.microsoft.com/office/drawing/2014/main" id="{D6BD70C0-DC56-4C82-95CC-D0DB2AA363E7}"/>
            </a:ext>
          </a:extLst>
        </xdr:cNvPr>
        <xdr:cNvSpPr/>
      </xdr:nvSpPr>
      <xdr:spPr>
        <a:xfrm rot="16200000">
          <a:off x="2866832" y="19879305"/>
          <a:ext cx="2445934" cy="259462"/>
        </a:xfrm>
        <a:prstGeom prst="rect">
          <a:avLst/>
        </a:prstGeom>
        <a:pattFill prst="ltHorz">
          <a:fgClr>
            <a:schemeClr val="accent2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ES_tradn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277697</xdr:colOff>
      <xdr:row>105</xdr:row>
      <xdr:rowOff>23415</xdr:rowOff>
    </xdr:from>
    <xdr:to>
      <xdr:col>16</xdr:col>
      <xdr:colOff>217838</xdr:colOff>
      <xdr:row>117</xdr:row>
      <xdr:rowOff>131211</xdr:rowOff>
    </xdr:to>
    <xdr:sp macro="" textlink="">
      <xdr:nvSpPr>
        <xdr:cNvPr id="153" name="Rectángulo 172">
          <a:extLst>
            <a:ext uri="{FF2B5EF4-FFF2-40B4-BE49-F238E27FC236}">
              <a16:creationId xmlns:a16="http://schemas.microsoft.com/office/drawing/2014/main" id="{28C978E3-4A97-4E24-9A70-FAC4CB0C982D}"/>
            </a:ext>
          </a:extLst>
        </xdr:cNvPr>
        <xdr:cNvSpPr/>
      </xdr:nvSpPr>
      <xdr:spPr>
        <a:xfrm rot="16200000">
          <a:off x="3568927" y="19587325"/>
          <a:ext cx="2469608" cy="858623"/>
        </a:xfrm>
        <a:custGeom>
          <a:avLst/>
          <a:gdLst>
            <a:gd name="connsiteX0" fmla="*/ 0 w 4717591"/>
            <a:gd name="connsiteY0" fmla="*/ 0 h 665192"/>
            <a:gd name="connsiteX1" fmla="*/ 4717591 w 4717591"/>
            <a:gd name="connsiteY1" fmla="*/ 0 h 665192"/>
            <a:gd name="connsiteX2" fmla="*/ 4717591 w 4717591"/>
            <a:gd name="connsiteY2" fmla="*/ 665192 h 665192"/>
            <a:gd name="connsiteX3" fmla="*/ 0 w 4717591"/>
            <a:gd name="connsiteY3" fmla="*/ 665192 h 665192"/>
            <a:gd name="connsiteX4" fmla="*/ 0 w 4717591"/>
            <a:gd name="connsiteY4" fmla="*/ 0 h 665192"/>
            <a:gd name="connsiteX0" fmla="*/ 0 w 4717591"/>
            <a:gd name="connsiteY0" fmla="*/ 0 h 665192"/>
            <a:gd name="connsiteX1" fmla="*/ 4717591 w 4717591"/>
            <a:gd name="connsiteY1" fmla="*/ 0 h 665192"/>
            <a:gd name="connsiteX2" fmla="*/ 4700655 w 4717591"/>
            <a:gd name="connsiteY2" fmla="*/ 13258 h 665192"/>
            <a:gd name="connsiteX3" fmla="*/ 0 w 4717591"/>
            <a:gd name="connsiteY3" fmla="*/ 665192 h 665192"/>
            <a:gd name="connsiteX4" fmla="*/ 0 w 4717591"/>
            <a:gd name="connsiteY4" fmla="*/ 0 h 665192"/>
            <a:gd name="connsiteX0" fmla="*/ 0 w 4717591"/>
            <a:gd name="connsiteY0" fmla="*/ 0 h 758329"/>
            <a:gd name="connsiteX1" fmla="*/ 4717591 w 4717591"/>
            <a:gd name="connsiteY1" fmla="*/ 0 h 758329"/>
            <a:gd name="connsiteX2" fmla="*/ 4700655 w 4717591"/>
            <a:gd name="connsiteY2" fmla="*/ 13258 h 758329"/>
            <a:gd name="connsiteX3" fmla="*/ 152400 w 4717591"/>
            <a:gd name="connsiteY3" fmla="*/ 758329 h 758329"/>
            <a:gd name="connsiteX4" fmla="*/ 0 w 4717591"/>
            <a:gd name="connsiteY4" fmla="*/ 0 h 7583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717591" h="758329">
              <a:moveTo>
                <a:pt x="0" y="0"/>
              </a:moveTo>
              <a:lnTo>
                <a:pt x="4717591" y="0"/>
              </a:lnTo>
              <a:lnTo>
                <a:pt x="4700655" y="13258"/>
              </a:lnTo>
              <a:lnTo>
                <a:pt x="152400" y="758329"/>
              </a:lnTo>
              <a:lnTo>
                <a:pt x="0" y="0"/>
              </a:lnTo>
              <a:close/>
            </a:path>
          </a:pathLst>
        </a:custGeom>
        <a:pattFill prst="wdUpDiag">
          <a:fgClr>
            <a:srgbClr val="FF2600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159028</xdr:colOff>
      <xdr:row>115</xdr:row>
      <xdr:rowOff>97203</xdr:rowOff>
    </xdr:from>
    <xdr:to>
      <xdr:col>12</xdr:col>
      <xdr:colOff>86134</xdr:colOff>
      <xdr:row>115</xdr:row>
      <xdr:rowOff>97203</xdr:rowOff>
    </xdr:to>
    <xdr:cxnSp macro="">
      <xdr:nvCxnSpPr>
        <xdr:cNvPr id="154" name="Conector recto de flecha 153">
          <a:extLst>
            <a:ext uri="{FF2B5EF4-FFF2-40B4-BE49-F238E27FC236}">
              <a16:creationId xmlns:a16="http://schemas.microsoft.com/office/drawing/2014/main" id="{A7FF92F2-2FE5-4AC2-AB03-F0CB57C27B12}"/>
            </a:ext>
          </a:extLst>
        </xdr:cNvPr>
        <xdr:cNvCxnSpPr/>
      </xdr:nvCxnSpPr>
      <xdr:spPr>
        <a:xfrm flipH="1">
          <a:off x="3643429" y="20818938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165637</xdr:colOff>
      <xdr:row>114</xdr:row>
      <xdr:rowOff>69794</xdr:rowOff>
    </xdr:from>
    <xdr:to>
      <xdr:col>12</xdr:col>
      <xdr:colOff>92743</xdr:colOff>
      <xdr:row>114</xdr:row>
      <xdr:rowOff>69794</xdr:rowOff>
    </xdr:to>
    <xdr:cxnSp macro="">
      <xdr:nvCxnSpPr>
        <xdr:cNvPr id="155" name="Conector recto de flecha 154">
          <a:extLst>
            <a:ext uri="{FF2B5EF4-FFF2-40B4-BE49-F238E27FC236}">
              <a16:creationId xmlns:a16="http://schemas.microsoft.com/office/drawing/2014/main" id="{E2595658-A9B9-49D8-965A-1DDD03622EBB}"/>
            </a:ext>
          </a:extLst>
        </xdr:cNvPr>
        <xdr:cNvCxnSpPr/>
      </xdr:nvCxnSpPr>
      <xdr:spPr>
        <a:xfrm flipH="1">
          <a:off x="3650038" y="20602001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163888</xdr:colOff>
      <xdr:row>113</xdr:row>
      <xdr:rowOff>24308</xdr:rowOff>
    </xdr:from>
    <xdr:to>
      <xdr:col>12</xdr:col>
      <xdr:colOff>90994</xdr:colOff>
      <xdr:row>113</xdr:row>
      <xdr:rowOff>24308</xdr:rowOff>
    </xdr:to>
    <xdr:cxnSp macro="">
      <xdr:nvCxnSpPr>
        <xdr:cNvPr id="156" name="Conector recto de flecha 155">
          <a:extLst>
            <a:ext uri="{FF2B5EF4-FFF2-40B4-BE49-F238E27FC236}">
              <a16:creationId xmlns:a16="http://schemas.microsoft.com/office/drawing/2014/main" id="{9C0D8AE6-1F2D-4EC1-92BD-98386C30ADE4}"/>
            </a:ext>
          </a:extLst>
        </xdr:cNvPr>
        <xdr:cNvCxnSpPr/>
      </xdr:nvCxnSpPr>
      <xdr:spPr>
        <a:xfrm flipH="1">
          <a:off x="3648289" y="20357267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170090</xdr:colOff>
      <xdr:row>111</xdr:row>
      <xdr:rowOff>64852</xdr:rowOff>
    </xdr:from>
    <xdr:to>
      <xdr:col>12</xdr:col>
      <xdr:colOff>169507</xdr:colOff>
      <xdr:row>111</xdr:row>
      <xdr:rowOff>184668</xdr:rowOff>
    </xdr:to>
    <xdr:cxnSp macro="">
      <xdr:nvCxnSpPr>
        <xdr:cNvPr id="157" name="Conector recto de flecha 156">
          <a:extLst>
            <a:ext uri="{FF2B5EF4-FFF2-40B4-BE49-F238E27FC236}">
              <a16:creationId xmlns:a16="http://schemas.microsoft.com/office/drawing/2014/main" id="{23AE23DE-D7B8-4273-A8AC-F28C26D438D0}"/>
            </a:ext>
          </a:extLst>
        </xdr:cNvPr>
        <xdr:cNvCxnSpPr>
          <a:stCxn id="152" idx="0"/>
        </xdr:cNvCxnSpPr>
      </xdr:nvCxnSpPr>
      <xdr:spPr>
        <a:xfrm flipH="1">
          <a:off x="3654491" y="20009036"/>
          <a:ext cx="305577" cy="119816"/>
        </a:xfrm>
        <a:prstGeom prst="straightConnector1">
          <a:avLst/>
        </a:prstGeom>
        <a:ln>
          <a:solidFill>
            <a:srgbClr val="92D05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162527</xdr:colOff>
      <xdr:row>110</xdr:row>
      <xdr:rowOff>154158</xdr:rowOff>
    </xdr:from>
    <xdr:to>
      <xdr:col>12</xdr:col>
      <xdr:colOff>89633</xdr:colOff>
      <xdr:row>110</xdr:row>
      <xdr:rowOff>154158</xdr:rowOff>
    </xdr:to>
    <xdr:cxnSp macro="">
      <xdr:nvCxnSpPr>
        <xdr:cNvPr id="158" name="Conector recto de flecha 157">
          <a:extLst>
            <a:ext uri="{FF2B5EF4-FFF2-40B4-BE49-F238E27FC236}">
              <a16:creationId xmlns:a16="http://schemas.microsoft.com/office/drawing/2014/main" id="{ECDB3CE8-472B-45AA-BD47-652B9FFC7C08}"/>
            </a:ext>
          </a:extLst>
        </xdr:cNvPr>
        <xdr:cNvCxnSpPr/>
      </xdr:nvCxnSpPr>
      <xdr:spPr>
        <a:xfrm flipH="1">
          <a:off x="3646928" y="19908814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157667</xdr:colOff>
      <xdr:row>117</xdr:row>
      <xdr:rowOff>100702</xdr:rowOff>
    </xdr:from>
    <xdr:to>
      <xdr:col>12</xdr:col>
      <xdr:colOff>84773</xdr:colOff>
      <xdr:row>117</xdr:row>
      <xdr:rowOff>100702</xdr:rowOff>
    </xdr:to>
    <xdr:cxnSp macro="">
      <xdr:nvCxnSpPr>
        <xdr:cNvPr id="160" name="Conector recto de flecha 159">
          <a:extLst>
            <a:ext uri="{FF2B5EF4-FFF2-40B4-BE49-F238E27FC236}">
              <a16:creationId xmlns:a16="http://schemas.microsoft.com/office/drawing/2014/main" id="{87E7B4F2-6DE6-4C8F-AC7B-6CEDFAF84712}"/>
            </a:ext>
          </a:extLst>
        </xdr:cNvPr>
        <xdr:cNvCxnSpPr/>
      </xdr:nvCxnSpPr>
      <xdr:spPr>
        <a:xfrm flipH="1">
          <a:off x="3642068" y="21220932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164276</xdr:colOff>
      <xdr:row>116</xdr:row>
      <xdr:rowOff>78154</xdr:rowOff>
    </xdr:from>
    <xdr:to>
      <xdr:col>12</xdr:col>
      <xdr:colOff>91382</xdr:colOff>
      <xdr:row>116</xdr:row>
      <xdr:rowOff>78154</xdr:rowOff>
    </xdr:to>
    <xdr:cxnSp macro="">
      <xdr:nvCxnSpPr>
        <xdr:cNvPr id="161" name="Conector recto de flecha 160">
          <a:extLst>
            <a:ext uri="{FF2B5EF4-FFF2-40B4-BE49-F238E27FC236}">
              <a16:creationId xmlns:a16="http://schemas.microsoft.com/office/drawing/2014/main" id="{CA8B6647-F33F-49BC-8159-2D095A1D9B75}"/>
            </a:ext>
          </a:extLst>
        </xdr:cNvPr>
        <xdr:cNvCxnSpPr/>
      </xdr:nvCxnSpPr>
      <xdr:spPr>
        <a:xfrm flipH="1">
          <a:off x="3648677" y="20999136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162526</xdr:colOff>
      <xdr:row>107</xdr:row>
      <xdr:rowOff>52106</xdr:rowOff>
    </xdr:from>
    <xdr:to>
      <xdr:col>12</xdr:col>
      <xdr:colOff>89632</xdr:colOff>
      <xdr:row>107</xdr:row>
      <xdr:rowOff>52106</xdr:rowOff>
    </xdr:to>
    <xdr:cxnSp macro="">
      <xdr:nvCxnSpPr>
        <xdr:cNvPr id="162" name="Conector recto de flecha 161">
          <a:extLst>
            <a:ext uri="{FF2B5EF4-FFF2-40B4-BE49-F238E27FC236}">
              <a16:creationId xmlns:a16="http://schemas.microsoft.com/office/drawing/2014/main" id="{6DE91CB6-2612-48BB-92F9-C07DF5905000}"/>
            </a:ext>
          </a:extLst>
        </xdr:cNvPr>
        <xdr:cNvCxnSpPr/>
      </xdr:nvCxnSpPr>
      <xdr:spPr>
        <a:xfrm flipH="1">
          <a:off x="3646927" y="19238177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154556</xdr:colOff>
      <xdr:row>106</xdr:row>
      <xdr:rowOff>58715</xdr:rowOff>
    </xdr:from>
    <xdr:to>
      <xdr:col>12</xdr:col>
      <xdr:colOff>81662</xdr:colOff>
      <xdr:row>106</xdr:row>
      <xdr:rowOff>58715</xdr:rowOff>
    </xdr:to>
    <xdr:cxnSp macro="">
      <xdr:nvCxnSpPr>
        <xdr:cNvPr id="163" name="Conector recto de flecha 162">
          <a:extLst>
            <a:ext uri="{FF2B5EF4-FFF2-40B4-BE49-F238E27FC236}">
              <a16:creationId xmlns:a16="http://schemas.microsoft.com/office/drawing/2014/main" id="{05B6C53F-7A4A-4801-9BC1-3ADC3D970074}"/>
            </a:ext>
          </a:extLst>
        </xdr:cNvPr>
        <xdr:cNvCxnSpPr/>
      </xdr:nvCxnSpPr>
      <xdr:spPr>
        <a:xfrm flipH="1">
          <a:off x="3638957" y="19006661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161165</xdr:colOff>
      <xdr:row>105</xdr:row>
      <xdr:rowOff>31306</xdr:rowOff>
    </xdr:from>
    <xdr:to>
      <xdr:col>12</xdr:col>
      <xdr:colOff>88271</xdr:colOff>
      <xdr:row>105</xdr:row>
      <xdr:rowOff>31306</xdr:rowOff>
    </xdr:to>
    <xdr:cxnSp macro="">
      <xdr:nvCxnSpPr>
        <xdr:cNvPr id="164" name="Conector recto de flecha 163">
          <a:extLst>
            <a:ext uri="{FF2B5EF4-FFF2-40B4-BE49-F238E27FC236}">
              <a16:creationId xmlns:a16="http://schemas.microsoft.com/office/drawing/2014/main" id="{3E994D20-D76D-4FA9-B93D-C3B6C59CE961}"/>
            </a:ext>
          </a:extLst>
        </xdr:cNvPr>
        <xdr:cNvCxnSpPr/>
      </xdr:nvCxnSpPr>
      <xdr:spPr>
        <a:xfrm flipH="1">
          <a:off x="3645566" y="18789724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156305</xdr:colOff>
      <xdr:row>109</xdr:row>
      <xdr:rowOff>79902</xdr:rowOff>
    </xdr:from>
    <xdr:to>
      <xdr:col>12</xdr:col>
      <xdr:colOff>83411</xdr:colOff>
      <xdr:row>109</xdr:row>
      <xdr:rowOff>79902</xdr:rowOff>
    </xdr:to>
    <xdr:cxnSp macro="">
      <xdr:nvCxnSpPr>
        <xdr:cNvPr id="166" name="Conector recto de flecha 165">
          <a:extLst>
            <a:ext uri="{FF2B5EF4-FFF2-40B4-BE49-F238E27FC236}">
              <a16:creationId xmlns:a16="http://schemas.microsoft.com/office/drawing/2014/main" id="{A051FB5D-EC23-4138-BDB4-F73B05501B0E}"/>
            </a:ext>
          </a:extLst>
        </xdr:cNvPr>
        <xdr:cNvCxnSpPr/>
      </xdr:nvCxnSpPr>
      <xdr:spPr>
        <a:xfrm flipH="1">
          <a:off x="3640706" y="19645030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162914</xdr:colOff>
      <xdr:row>108</xdr:row>
      <xdr:rowOff>52494</xdr:rowOff>
    </xdr:from>
    <xdr:to>
      <xdr:col>12</xdr:col>
      <xdr:colOff>90020</xdr:colOff>
      <xdr:row>108</xdr:row>
      <xdr:rowOff>52494</xdr:rowOff>
    </xdr:to>
    <xdr:cxnSp macro="">
      <xdr:nvCxnSpPr>
        <xdr:cNvPr id="167" name="Conector recto de flecha 166">
          <a:extLst>
            <a:ext uri="{FF2B5EF4-FFF2-40B4-BE49-F238E27FC236}">
              <a16:creationId xmlns:a16="http://schemas.microsoft.com/office/drawing/2014/main" id="{1F597F68-5EE5-4933-8DAE-40038887AB5D}"/>
            </a:ext>
          </a:extLst>
        </xdr:cNvPr>
        <xdr:cNvCxnSpPr/>
      </xdr:nvCxnSpPr>
      <xdr:spPr>
        <a:xfrm flipH="1">
          <a:off x="3647315" y="19428093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170497</xdr:colOff>
      <xdr:row>115</xdr:row>
      <xdr:rowOff>94093</xdr:rowOff>
    </xdr:from>
    <xdr:to>
      <xdr:col>13</xdr:col>
      <xdr:colOff>97602</xdr:colOff>
      <xdr:row>115</xdr:row>
      <xdr:rowOff>94093</xdr:rowOff>
    </xdr:to>
    <xdr:cxnSp macro="">
      <xdr:nvCxnSpPr>
        <xdr:cNvPr id="168" name="Conector recto de flecha 167">
          <a:extLst>
            <a:ext uri="{FF2B5EF4-FFF2-40B4-BE49-F238E27FC236}">
              <a16:creationId xmlns:a16="http://schemas.microsoft.com/office/drawing/2014/main" id="{18D0D8A2-B852-4EE5-B3EE-22A8BB9483CF}"/>
            </a:ext>
          </a:extLst>
        </xdr:cNvPr>
        <xdr:cNvCxnSpPr/>
      </xdr:nvCxnSpPr>
      <xdr:spPr>
        <a:xfrm flipH="1">
          <a:off x="3961058" y="20815828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177106</xdr:colOff>
      <xdr:row>114</xdr:row>
      <xdr:rowOff>66684</xdr:rowOff>
    </xdr:from>
    <xdr:to>
      <xdr:col>13</xdr:col>
      <xdr:colOff>104211</xdr:colOff>
      <xdr:row>114</xdr:row>
      <xdr:rowOff>66684</xdr:rowOff>
    </xdr:to>
    <xdr:cxnSp macro="">
      <xdr:nvCxnSpPr>
        <xdr:cNvPr id="169" name="Conector recto de flecha 168">
          <a:extLst>
            <a:ext uri="{FF2B5EF4-FFF2-40B4-BE49-F238E27FC236}">
              <a16:creationId xmlns:a16="http://schemas.microsoft.com/office/drawing/2014/main" id="{9875994E-F35A-4702-80D6-F96324D8BE47}"/>
            </a:ext>
          </a:extLst>
        </xdr:cNvPr>
        <xdr:cNvCxnSpPr/>
      </xdr:nvCxnSpPr>
      <xdr:spPr>
        <a:xfrm flipH="1">
          <a:off x="3967667" y="20598891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175357</xdr:colOff>
      <xdr:row>113</xdr:row>
      <xdr:rowOff>21198</xdr:rowOff>
    </xdr:from>
    <xdr:to>
      <xdr:col>13</xdr:col>
      <xdr:colOff>102462</xdr:colOff>
      <xdr:row>113</xdr:row>
      <xdr:rowOff>21198</xdr:rowOff>
    </xdr:to>
    <xdr:cxnSp macro="">
      <xdr:nvCxnSpPr>
        <xdr:cNvPr id="170" name="Conector recto de flecha 169">
          <a:extLst>
            <a:ext uri="{FF2B5EF4-FFF2-40B4-BE49-F238E27FC236}">
              <a16:creationId xmlns:a16="http://schemas.microsoft.com/office/drawing/2014/main" id="{BAC6998A-4D1A-4332-BD10-257AD4160019}"/>
            </a:ext>
          </a:extLst>
        </xdr:cNvPr>
        <xdr:cNvCxnSpPr/>
      </xdr:nvCxnSpPr>
      <xdr:spPr>
        <a:xfrm flipH="1">
          <a:off x="3965918" y="20354157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172247</xdr:colOff>
      <xdr:row>111</xdr:row>
      <xdr:rowOff>58316</xdr:rowOff>
    </xdr:from>
    <xdr:to>
      <xdr:col>13</xdr:col>
      <xdr:colOff>233265</xdr:colOff>
      <xdr:row>111</xdr:row>
      <xdr:rowOff>144440</xdr:rowOff>
    </xdr:to>
    <xdr:cxnSp macro="">
      <xdr:nvCxnSpPr>
        <xdr:cNvPr id="171" name="Conector recto de flecha 170">
          <a:extLst>
            <a:ext uri="{FF2B5EF4-FFF2-40B4-BE49-F238E27FC236}">
              <a16:creationId xmlns:a16="http://schemas.microsoft.com/office/drawing/2014/main" id="{A1C887ED-A3C1-4CC0-8942-B01287C28A7B}"/>
            </a:ext>
          </a:extLst>
        </xdr:cNvPr>
        <xdr:cNvCxnSpPr/>
      </xdr:nvCxnSpPr>
      <xdr:spPr>
        <a:xfrm flipH="1">
          <a:off x="3962808" y="20002500"/>
          <a:ext cx="367179" cy="86124"/>
        </a:xfrm>
        <a:prstGeom prst="straightConnector1">
          <a:avLst/>
        </a:prstGeom>
        <a:ln>
          <a:solidFill>
            <a:srgbClr val="92D05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173996</xdr:colOff>
      <xdr:row>110</xdr:row>
      <xdr:rowOff>151048</xdr:rowOff>
    </xdr:from>
    <xdr:to>
      <xdr:col>13</xdr:col>
      <xdr:colOff>101101</xdr:colOff>
      <xdr:row>110</xdr:row>
      <xdr:rowOff>151048</xdr:rowOff>
    </xdr:to>
    <xdr:cxnSp macro="">
      <xdr:nvCxnSpPr>
        <xdr:cNvPr id="172" name="Conector recto de flecha 171">
          <a:extLst>
            <a:ext uri="{FF2B5EF4-FFF2-40B4-BE49-F238E27FC236}">
              <a16:creationId xmlns:a16="http://schemas.microsoft.com/office/drawing/2014/main" id="{1F72A7A3-D52B-4A83-B709-6C8F88658661}"/>
            </a:ext>
          </a:extLst>
        </xdr:cNvPr>
        <xdr:cNvCxnSpPr/>
      </xdr:nvCxnSpPr>
      <xdr:spPr>
        <a:xfrm flipH="1">
          <a:off x="3964557" y="19905704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169136</xdr:colOff>
      <xdr:row>117</xdr:row>
      <xdr:rowOff>97592</xdr:rowOff>
    </xdr:from>
    <xdr:to>
      <xdr:col>13</xdr:col>
      <xdr:colOff>96241</xdr:colOff>
      <xdr:row>117</xdr:row>
      <xdr:rowOff>97592</xdr:rowOff>
    </xdr:to>
    <xdr:cxnSp macro="">
      <xdr:nvCxnSpPr>
        <xdr:cNvPr id="173" name="Conector recto de flecha 172">
          <a:extLst>
            <a:ext uri="{FF2B5EF4-FFF2-40B4-BE49-F238E27FC236}">
              <a16:creationId xmlns:a16="http://schemas.microsoft.com/office/drawing/2014/main" id="{1646DE95-A341-4C4B-A526-3ADA4E70E6BE}"/>
            </a:ext>
          </a:extLst>
        </xdr:cNvPr>
        <xdr:cNvCxnSpPr/>
      </xdr:nvCxnSpPr>
      <xdr:spPr>
        <a:xfrm flipH="1">
          <a:off x="3959697" y="21217822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175745</xdr:colOff>
      <xdr:row>116</xdr:row>
      <xdr:rowOff>75044</xdr:rowOff>
    </xdr:from>
    <xdr:to>
      <xdr:col>13</xdr:col>
      <xdr:colOff>102850</xdr:colOff>
      <xdr:row>116</xdr:row>
      <xdr:rowOff>75044</xdr:rowOff>
    </xdr:to>
    <xdr:cxnSp macro="">
      <xdr:nvCxnSpPr>
        <xdr:cNvPr id="174" name="Conector recto de flecha 173">
          <a:extLst>
            <a:ext uri="{FF2B5EF4-FFF2-40B4-BE49-F238E27FC236}">
              <a16:creationId xmlns:a16="http://schemas.microsoft.com/office/drawing/2014/main" id="{08D6CC84-51C0-403B-965E-20672D9E2C0C}"/>
            </a:ext>
          </a:extLst>
        </xdr:cNvPr>
        <xdr:cNvCxnSpPr/>
      </xdr:nvCxnSpPr>
      <xdr:spPr>
        <a:xfrm flipH="1">
          <a:off x="3966306" y="20996026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173995</xdr:colOff>
      <xdr:row>107</xdr:row>
      <xdr:rowOff>48996</xdr:rowOff>
    </xdr:from>
    <xdr:to>
      <xdr:col>13</xdr:col>
      <xdr:colOff>101100</xdr:colOff>
      <xdr:row>107</xdr:row>
      <xdr:rowOff>48996</xdr:rowOff>
    </xdr:to>
    <xdr:cxnSp macro="">
      <xdr:nvCxnSpPr>
        <xdr:cNvPr id="175" name="Conector recto de flecha 174">
          <a:extLst>
            <a:ext uri="{FF2B5EF4-FFF2-40B4-BE49-F238E27FC236}">
              <a16:creationId xmlns:a16="http://schemas.microsoft.com/office/drawing/2014/main" id="{563B1D72-F908-456F-BAA5-FE20332D9D16}"/>
            </a:ext>
          </a:extLst>
        </xdr:cNvPr>
        <xdr:cNvCxnSpPr/>
      </xdr:nvCxnSpPr>
      <xdr:spPr>
        <a:xfrm flipH="1">
          <a:off x="3964556" y="19235067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166025</xdr:colOff>
      <xdr:row>106</xdr:row>
      <xdr:rowOff>55605</xdr:rowOff>
    </xdr:from>
    <xdr:to>
      <xdr:col>13</xdr:col>
      <xdr:colOff>93130</xdr:colOff>
      <xdr:row>106</xdr:row>
      <xdr:rowOff>55605</xdr:rowOff>
    </xdr:to>
    <xdr:cxnSp macro="">
      <xdr:nvCxnSpPr>
        <xdr:cNvPr id="176" name="Conector recto de flecha 175">
          <a:extLst>
            <a:ext uri="{FF2B5EF4-FFF2-40B4-BE49-F238E27FC236}">
              <a16:creationId xmlns:a16="http://schemas.microsoft.com/office/drawing/2014/main" id="{88BAEACF-6382-4AA4-A6D6-7F4E34250796}"/>
            </a:ext>
          </a:extLst>
        </xdr:cNvPr>
        <xdr:cNvCxnSpPr/>
      </xdr:nvCxnSpPr>
      <xdr:spPr>
        <a:xfrm flipH="1">
          <a:off x="3956586" y="19003551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172634</xdr:colOff>
      <xdr:row>105</xdr:row>
      <xdr:rowOff>28196</xdr:rowOff>
    </xdr:from>
    <xdr:to>
      <xdr:col>13</xdr:col>
      <xdr:colOff>99739</xdr:colOff>
      <xdr:row>105</xdr:row>
      <xdr:rowOff>28196</xdr:rowOff>
    </xdr:to>
    <xdr:cxnSp macro="">
      <xdr:nvCxnSpPr>
        <xdr:cNvPr id="177" name="Conector recto de flecha 176">
          <a:extLst>
            <a:ext uri="{FF2B5EF4-FFF2-40B4-BE49-F238E27FC236}">
              <a16:creationId xmlns:a16="http://schemas.microsoft.com/office/drawing/2014/main" id="{B472D994-6408-443B-B977-25AD0C95C6D0}"/>
            </a:ext>
          </a:extLst>
        </xdr:cNvPr>
        <xdr:cNvCxnSpPr/>
      </xdr:nvCxnSpPr>
      <xdr:spPr>
        <a:xfrm flipH="1">
          <a:off x="3963195" y="18786614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167774</xdr:colOff>
      <xdr:row>109</xdr:row>
      <xdr:rowOff>76792</xdr:rowOff>
    </xdr:from>
    <xdr:to>
      <xdr:col>13</xdr:col>
      <xdr:colOff>94879</xdr:colOff>
      <xdr:row>109</xdr:row>
      <xdr:rowOff>76792</xdr:rowOff>
    </xdr:to>
    <xdr:cxnSp macro="">
      <xdr:nvCxnSpPr>
        <xdr:cNvPr id="178" name="Conector recto de flecha 177">
          <a:extLst>
            <a:ext uri="{FF2B5EF4-FFF2-40B4-BE49-F238E27FC236}">
              <a16:creationId xmlns:a16="http://schemas.microsoft.com/office/drawing/2014/main" id="{122424A2-D41C-427B-B737-E5D547759662}"/>
            </a:ext>
          </a:extLst>
        </xdr:cNvPr>
        <xdr:cNvCxnSpPr/>
      </xdr:nvCxnSpPr>
      <xdr:spPr>
        <a:xfrm flipH="1">
          <a:off x="3958335" y="19641920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174383</xdr:colOff>
      <xdr:row>108</xdr:row>
      <xdr:rowOff>49384</xdr:rowOff>
    </xdr:from>
    <xdr:to>
      <xdr:col>13</xdr:col>
      <xdr:colOff>101488</xdr:colOff>
      <xdr:row>108</xdr:row>
      <xdr:rowOff>49384</xdr:rowOff>
    </xdr:to>
    <xdr:cxnSp macro="">
      <xdr:nvCxnSpPr>
        <xdr:cNvPr id="179" name="Conector recto de flecha 178">
          <a:extLst>
            <a:ext uri="{FF2B5EF4-FFF2-40B4-BE49-F238E27FC236}">
              <a16:creationId xmlns:a16="http://schemas.microsoft.com/office/drawing/2014/main" id="{41A52CC3-3CA6-4635-8172-48232F55CC50}"/>
            </a:ext>
          </a:extLst>
        </xdr:cNvPr>
        <xdr:cNvCxnSpPr/>
      </xdr:nvCxnSpPr>
      <xdr:spPr>
        <a:xfrm flipH="1">
          <a:off x="3964944" y="19424983"/>
          <a:ext cx="23326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280909</xdr:colOff>
      <xdr:row>117</xdr:row>
      <xdr:rowOff>51431</xdr:rowOff>
    </xdr:from>
    <xdr:to>
      <xdr:col>16</xdr:col>
      <xdr:colOff>217839</xdr:colOff>
      <xdr:row>117</xdr:row>
      <xdr:rowOff>126750</xdr:rowOff>
    </xdr:to>
    <xdr:cxnSp macro="">
      <xdr:nvCxnSpPr>
        <xdr:cNvPr id="180" name="Conector recto de flecha 179">
          <a:extLst>
            <a:ext uri="{FF2B5EF4-FFF2-40B4-BE49-F238E27FC236}">
              <a16:creationId xmlns:a16="http://schemas.microsoft.com/office/drawing/2014/main" id="{4B6E4771-DA7C-4CFC-AB9C-22D96D95BBC3}"/>
            </a:ext>
          </a:extLst>
        </xdr:cNvPr>
        <xdr:cNvCxnSpPr>
          <a:stCxn id="153" idx="3"/>
        </xdr:cNvCxnSpPr>
      </xdr:nvCxnSpPr>
      <xdr:spPr>
        <a:xfrm flipH="1">
          <a:off x="4377631" y="21171661"/>
          <a:ext cx="855412" cy="7531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268079</xdr:colOff>
      <xdr:row>116</xdr:row>
      <xdr:rowOff>77755</xdr:rowOff>
    </xdr:from>
    <xdr:to>
      <xdr:col>16</xdr:col>
      <xdr:colOff>160370</xdr:colOff>
      <xdr:row>116</xdr:row>
      <xdr:rowOff>143079</xdr:rowOff>
    </xdr:to>
    <xdr:cxnSp macro="">
      <xdr:nvCxnSpPr>
        <xdr:cNvPr id="181" name="Conector recto de flecha 180">
          <a:extLst>
            <a:ext uri="{FF2B5EF4-FFF2-40B4-BE49-F238E27FC236}">
              <a16:creationId xmlns:a16="http://schemas.microsoft.com/office/drawing/2014/main" id="{1834AD6D-C4D6-4402-A1FA-61E14647F363}"/>
            </a:ext>
          </a:extLst>
        </xdr:cNvPr>
        <xdr:cNvCxnSpPr/>
      </xdr:nvCxnSpPr>
      <xdr:spPr>
        <a:xfrm flipH="1">
          <a:off x="4364801" y="20998737"/>
          <a:ext cx="810773" cy="653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260109</xdr:colOff>
      <xdr:row>115</xdr:row>
      <xdr:rowOff>92334</xdr:rowOff>
    </xdr:from>
    <xdr:to>
      <xdr:col>16</xdr:col>
      <xdr:colOff>92334</xdr:colOff>
      <xdr:row>115</xdr:row>
      <xdr:rowOff>159407</xdr:rowOff>
    </xdr:to>
    <xdr:cxnSp macro="">
      <xdr:nvCxnSpPr>
        <xdr:cNvPr id="182" name="Conector recto de flecha 181">
          <a:extLst>
            <a:ext uri="{FF2B5EF4-FFF2-40B4-BE49-F238E27FC236}">
              <a16:creationId xmlns:a16="http://schemas.microsoft.com/office/drawing/2014/main" id="{415BD876-E59F-4795-8585-BFFF967BA260}"/>
            </a:ext>
          </a:extLst>
        </xdr:cNvPr>
        <xdr:cNvCxnSpPr/>
      </xdr:nvCxnSpPr>
      <xdr:spPr>
        <a:xfrm flipH="1">
          <a:off x="4356831" y="20814069"/>
          <a:ext cx="750707" cy="670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255249</xdr:colOff>
      <xdr:row>114</xdr:row>
      <xdr:rowOff>77755</xdr:rowOff>
    </xdr:from>
    <xdr:to>
      <xdr:col>16</xdr:col>
      <xdr:colOff>19439</xdr:colOff>
      <xdr:row>114</xdr:row>
      <xdr:rowOff>138220</xdr:rowOff>
    </xdr:to>
    <xdr:cxnSp macro="">
      <xdr:nvCxnSpPr>
        <xdr:cNvPr id="183" name="Conector recto de flecha 182">
          <a:extLst>
            <a:ext uri="{FF2B5EF4-FFF2-40B4-BE49-F238E27FC236}">
              <a16:creationId xmlns:a16="http://schemas.microsoft.com/office/drawing/2014/main" id="{231AA8CA-9FAC-4A71-B64D-49A54E679218}"/>
            </a:ext>
          </a:extLst>
        </xdr:cNvPr>
        <xdr:cNvCxnSpPr/>
      </xdr:nvCxnSpPr>
      <xdr:spPr>
        <a:xfrm flipH="1">
          <a:off x="4351971" y="20609962"/>
          <a:ext cx="682672" cy="604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274687</xdr:colOff>
      <xdr:row>113</xdr:row>
      <xdr:rowOff>77755</xdr:rowOff>
    </xdr:from>
    <xdr:to>
      <xdr:col>15</xdr:col>
      <xdr:colOff>252704</xdr:colOff>
      <xdr:row>113</xdr:row>
      <xdr:rowOff>123641</xdr:rowOff>
    </xdr:to>
    <xdr:cxnSp macro="">
      <xdr:nvCxnSpPr>
        <xdr:cNvPr id="184" name="Conector recto de flecha 183">
          <a:extLst>
            <a:ext uri="{FF2B5EF4-FFF2-40B4-BE49-F238E27FC236}">
              <a16:creationId xmlns:a16="http://schemas.microsoft.com/office/drawing/2014/main" id="{9FDFBD4F-CB08-45BE-B60B-96826EAE9256}"/>
            </a:ext>
          </a:extLst>
        </xdr:cNvPr>
        <xdr:cNvCxnSpPr/>
      </xdr:nvCxnSpPr>
      <xdr:spPr>
        <a:xfrm flipH="1">
          <a:off x="4371409" y="20410714"/>
          <a:ext cx="590338" cy="4588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260108</xdr:colOff>
      <xdr:row>112</xdr:row>
      <xdr:rowOff>63176</xdr:rowOff>
    </xdr:from>
    <xdr:to>
      <xdr:col>15</xdr:col>
      <xdr:colOff>174949</xdr:colOff>
      <xdr:row>112</xdr:row>
      <xdr:rowOff>104201</xdr:rowOff>
    </xdr:to>
    <xdr:cxnSp macro="">
      <xdr:nvCxnSpPr>
        <xdr:cNvPr id="185" name="Conector recto de flecha 184">
          <a:extLst>
            <a:ext uri="{FF2B5EF4-FFF2-40B4-BE49-F238E27FC236}">
              <a16:creationId xmlns:a16="http://schemas.microsoft.com/office/drawing/2014/main" id="{2891A5D6-3A0D-431C-9887-4337C1F878E2}"/>
            </a:ext>
          </a:extLst>
        </xdr:cNvPr>
        <xdr:cNvCxnSpPr/>
      </xdr:nvCxnSpPr>
      <xdr:spPr>
        <a:xfrm flipH="1">
          <a:off x="4356830" y="20196888"/>
          <a:ext cx="527162" cy="410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260108</xdr:colOff>
      <xdr:row>111</xdr:row>
      <xdr:rowOff>9719</xdr:rowOff>
    </xdr:from>
    <xdr:to>
      <xdr:col>15</xdr:col>
      <xdr:colOff>97194</xdr:colOff>
      <xdr:row>111</xdr:row>
      <xdr:rowOff>41026</xdr:rowOff>
    </xdr:to>
    <xdr:cxnSp macro="">
      <xdr:nvCxnSpPr>
        <xdr:cNvPr id="186" name="Conector recto de flecha 185">
          <a:extLst>
            <a:ext uri="{FF2B5EF4-FFF2-40B4-BE49-F238E27FC236}">
              <a16:creationId xmlns:a16="http://schemas.microsoft.com/office/drawing/2014/main" id="{4EC7297C-7846-403C-8DA7-3A060697D105}"/>
            </a:ext>
          </a:extLst>
        </xdr:cNvPr>
        <xdr:cNvCxnSpPr/>
      </xdr:nvCxnSpPr>
      <xdr:spPr>
        <a:xfrm flipH="1">
          <a:off x="4356830" y="19953903"/>
          <a:ext cx="449407" cy="3130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264968</xdr:colOff>
      <xdr:row>109</xdr:row>
      <xdr:rowOff>145790</xdr:rowOff>
    </xdr:from>
    <xdr:to>
      <xdr:col>15</xdr:col>
      <xdr:colOff>14579</xdr:colOff>
      <xdr:row>109</xdr:row>
      <xdr:rowOff>177096</xdr:rowOff>
    </xdr:to>
    <xdr:cxnSp macro="">
      <xdr:nvCxnSpPr>
        <xdr:cNvPr id="187" name="Conector recto de flecha 186">
          <a:extLst>
            <a:ext uri="{FF2B5EF4-FFF2-40B4-BE49-F238E27FC236}">
              <a16:creationId xmlns:a16="http://schemas.microsoft.com/office/drawing/2014/main" id="{E3BDCCE7-51BA-4A51-A012-66BF61EC80EF}"/>
            </a:ext>
          </a:extLst>
        </xdr:cNvPr>
        <xdr:cNvCxnSpPr/>
      </xdr:nvCxnSpPr>
      <xdr:spPr>
        <a:xfrm flipH="1">
          <a:off x="4361690" y="19710918"/>
          <a:ext cx="361932" cy="3130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264968</xdr:colOff>
      <xdr:row>108</xdr:row>
      <xdr:rowOff>116633</xdr:rowOff>
    </xdr:from>
    <xdr:to>
      <xdr:col>14</xdr:col>
      <xdr:colOff>247844</xdr:colOff>
      <xdr:row>108</xdr:row>
      <xdr:rowOff>147939</xdr:rowOff>
    </xdr:to>
    <xdr:cxnSp macro="">
      <xdr:nvCxnSpPr>
        <xdr:cNvPr id="188" name="Conector recto de flecha 187">
          <a:extLst>
            <a:ext uri="{FF2B5EF4-FFF2-40B4-BE49-F238E27FC236}">
              <a16:creationId xmlns:a16="http://schemas.microsoft.com/office/drawing/2014/main" id="{EC2ACD21-CB59-42B0-AAC9-DFAA38C84A87}"/>
            </a:ext>
          </a:extLst>
        </xdr:cNvPr>
        <xdr:cNvCxnSpPr/>
      </xdr:nvCxnSpPr>
      <xdr:spPr>
        <a:xfrm flipH="1">
          <a:off x="4361690" y="19492232"/>
          <a:ext cx="289037" cy="3130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264968</xdr:colOff>
      <xdr:row>107</xdr:row>
      <xdr:rowOff>126352</xdr:rowOff>
    </xdr:from>
    <xdr:to>
      <xdr:col>14</xdr:col>
      <xdr:colOff>179808</xdr:colOff>
      <xdr:row>107</xdr:row>
      <xdr:rowOff>138219</xdr:rowOff>
    </xdr:to>
    <xdr:cxnSp macro="">
      <xdr:nvCxnSpPr>
        <xdr:cNvPr id="189" name="Conector recto de flecha 188">
          <a:extLst>
            <a:ext uri="{FF2B5EF4-FFF2-40B4-BE49-F238E27FC236}">
              <a16:creationId xmlns:a16="http://schemas.microsoft.com/office/drawing/2014/main" id="{275A4DEA-CF66-4649-A71D-929501879FEE}"/>
            </a:ext>
          </a:extLst>
        </xdr:cNvPr>
        <xdr:cNvCxnSpPr/>
      </xdr:nvCxnSpPr>
      <xdr:spPr>
        <a:xfrm flipH="1">
          <a:off x="4361690" y="19312423"/>
          <a:ext cx="221001" cy="1186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255249</xdr:colOff>
      <xdr:row>106</xdr:row>
      <xdr:rowOff>199248</xdr:rowOff>
    </xdr:from>
    <xdr:to>
      <xdr:col>14</xdr:col>
      <xdr:colOff>116632</xdr:colOff>
      <xdr:row>106</xdr:row>
      <xdr:rowOff>220835</xdr:rowOff>
    </xdr:to>
    <xdr:cxnSp macro="">
      <xdr:nvCxnSpPr>
        <xdr:cNvPr id="190" name="Conector recto de flecha 189">
          <a:extLst>
            <a:ext uri="{FF2B5EF4-FFF2-40B4-BE49-F238E27FC236}">
              <a16:creationId xmlns:a16="http://schemas.microsoft.com/office/drawing/2014/main" id="{574CE962-C4FB-4523-A372-77CE15E036CB}"/>
            </a:ext>
          </a:extLst>
        </xdr:cNvPr>
        <xdr:cNvCxnSpPr/>
      </xdr:nvCxnSpPr>
      <xdr:spPr>
        <a:xfrm flipH="1">
          <a:off x="4351971" y="19147194"/>
          <a:ext cx="167544" cy="215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261858</xdr:colOff>
      <xdr:row>106</xdr:row>
      <xdr:rowOff>43738</xdr:rowOff>
    </xdr:from>
    <xdr:to>
      <xdr:col>14</xdr:col>
      <xdr:colOff>77755</xdr:colOff>
      <xdr:row>106</xdr:row>
      <xdr:rowOff>67075</xdr:rowOff>
    </xdr:to>
    <xdr:cxnSp macro="">
      <xdr:nvCxnSpPr>
        <xdr:cNvPr id="191" name="Conector recto de flecha 190">
          <a:extLst>
            <a:ext uri="{FF2B5EF4-FFF2-40B4-BE49-F238E27FC236}">
              <a16:creationId xmlns:a16="http://schemas.microsoft.com/office/drawing/2014/main" id="{9D1D42C6-6F60-4785-A52C-9BC657A00D1E}"/>
            </a:ext>
          </a:extLst>
        </xdr:cNvPr>
        <xdr:cNvCxnSpPr/>
      </xdr:nvCxnSpPr>
      <xdr:spPr>
        <a:xfrm flipH="1">
          <a:off x="4358580" y="18991684"/>
          <a:ext cx="122058" cy="233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216387</xdr:colOff>
      <xdr:row>112</xdr:row>
      <xdr:rowOff>76725</xdr:rowOff>
    </xdr:from>
    <xdr:to>
      <xdr:col>15</xdr:col>
      <xdr:colOff>215804</xdr:colOff>
      <xdr:row>112</xdr:row>
      <xdr:rowOff>196541</xdr:rowOff>
    </xdr:to>
    <xdr:cxnSp macro="">
      <xdr:nvCxnSpPr>
        <xdr:cNvPr id="192" name="Conector recto de flecha 191">
          <a:extLst>
            <a:ext uri="{FF2B5EF4-FFF2-40B4-BE49-F238E27FC236}">
              <a16:creationId xmlns:a16="http://schemas.microsoft.com/office/drawing/2014/main" id="{F7880EF6-8F51-42FA-8DB5-2B023BBD75E5}"/>
            </a:ext>
          </a:extLst>
        </xdr:cNvPr>
        <xdr:cNvCxnSpPr/>
      </xdr:nvCxnSpPr>
      <xdr:spPr>
        <a:xfrm flipH="1">
          <a:off x="4641543" y="20128834"/>
          <a:ext cx="306995" cy="119816"/>
        </a:xfrm>
        <a:prstGeom prst="straightConnector1">
          <a:avLst/>
        </a:prstGeom>
        <a:ln>
          <a:solidFill>
            <a:srgbClr val="92D05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93434</xdr:colOff>
      <xdr:row>108</xdr:row>
      <xdr:rowOff>94825</xdr:rowOff>
    </xdr:from>
    <xdr:to>
      <xdr:col>15</xdr:col>
      <xdr:colOff>278200</xdr:colOff>
      <xdr:row>111</xdr:row>
      <xdr:rowOff>29588</xdr:rowOff>
    </xdr:to>
    <xdr:cxnSp macro="">
      <xdr:nvCxnSpPr>
        <xdr:cNvPr id="193" name="Conector angular 177">
          <a:extLst>
            <a:ext uri="{FF2B5EF4-FFF2-40B4-BE49-F238E27FC236}">
              <a16:creationId xmlns:a16="http://schemas.microsoft.com/office/drawing/2014/main" id="{6115523F-8F8E-4283-A442-88ED8A81DE9D}"/>
            </a:ext>
          </a:extLst>
        </xdr:cNvPr>
        <xdr:cNvCxnSpPr/>
      </xdr:nvCxnSpPr>
      <xdr:spPr>
        <a:xfrm flipV="1">
          <a:off x="4211012" y="19392872"/>
          <a:ext cx="799922" cy="500310"/>
        </a:xfrm>
        <a:prstGeom prst="bentConnector3">
          <a:avLst>
            <a:gd name="adj1" fmla="val 1938"/>
          </a:avLst>
        </a:prstGeom>
        <a:ln w="127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19846</xdr:colOff>
      <xdr:row>110</xdr:row>
      <xdr:rowOff>76437</xdr:rowOff>
    </xdr:from>
    <xdr:to>
      <xdr:col>16</xdr:col>
      <xdr:colOff>6398</xdr:colOff>
      <xdr:row>112</xdr:row>
      <xdr:rowOff>99220</xdr:rowOff>
    </xdr:to>
    <xdr:cxnSp macro="">
      <xdr:nvCxnSpPr>
        <xdr:cNvPr id="194" name="Conector angular 187">
          <a:extLst>
            <a:ext uri="{FF2B5EF4-FFF2-40B4-BE49-F238E27FC236}">
              <a16:creationId xmlns:a16="http://schemas.microsoft.com/office/drawing/2014/main" id="{D451A989-E5C7-4866-A94A-23AE929B0D41}"/>
            </a:ext>
          </a:extLst>
        </xdr:cNvPr>
        <xdr:cNvCxnSpPr/>
      </xdr:nvCxnSpPr>
      <xdr:spPr>
        <a:xfrm rot="5400000" flipH="1" flipV="1">
          <a:off x="4699739" y="19804356"/>
          <a:ext cx="399814" cy="294131"/>
        </a:xfrm>
        <a:prstGeom prst="bentConnector3">
          <a:avLst>
            <a:gd name="adj1" fmla="val 102114"/>
          </a:avLst>
        </a:prstGeom>
        <a:ln w="127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267890</xdr:colOff>
      <xdr:row>106</xdr:row>
      <xdr:rowOff>148828</xdr:rowOff>
    </xdr:from>
    <xdr:to>
      <xdr:col>15</xdr:col>
      <xdr:colOff>291612</xdr:colOff>
      <xdr:row>111</xdr:row>
      <xdr:rowOff>43364</xdr:rowOff>
    </xdr:to>
    <xdr:cxnSp macro="">
      <xdr:nvCxnSpPr>
        <xdr:cNvPr id="195" name="Conector angular 179">
          <a:extLst>
            <a:ext uri="{FF2B5EF4-FFF2-40B4-BE49-F238E27FC236}">
              <a16:creationId xmlns:a16="http://schemas.microsoft.com/office/drawing/2014/main" id="{82CFD27D-62AC-486A-A9C0-BBF0672A0309}"/>
            </a:ext>
          </a:extLst>
        </xdr:cNvPr>
        <xdr:cNvCxnSpPr/>
      </xdr:nvCxnSpPr>
      <xdr:spPr>
        <a:xfrm flipV="1">
          <a:off x="3770312" y="19020234"/>
          <a:ext cx="1254034" cy="886724"/>
        </a:xfrm>
        <a:prstGeom prst="bentConnector3">
          <a:avLst>
            <a:gd name="adj1" fmla="val 1816"/>
          </a:avLst>
        </a:prstGeom>
        <a:ln w="127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188516</xdr:colOff>
      <xdr:row>102</xdr:row>
      <xdr:rowOff>29765</xdr:rowOff>
    </xdr:from>
    <xdr:to>
      <xdr:col>11</xdr:col>
      <xdr:colOff>198437</xdr:colOff>
      <xdr:row>104</xdr:row>
      <xdr:rowOff>168672</xdr:rowOff>
    </xdr:to>
    <xdr:cxnSp macro="">
      <xdr:nvCxnSpPr>
        <xdr:cNvPr id="205" name="Conector recto de flecha 204">
          <a:extLst>
            <a:ext uri="{FF2B5EF4-FFF2-40B4-BE49-F238E27FC236}">
              <a16:creationId xmlns:a16="http://schemas.microsoft.com/office/drawing/2014/main" id="{2A8B4F84-97B9-41EB-986E-D3540C1AA610}"/>
            </a:ext>
          </a:extLst>
        </xdr:cNvPr>
        <xdr:cNvCxnSpPr/>
      </xdr:nvCxnSpPr>
      <xdr:spPr>
        <a:xfrm flipH="1">
          <a:off x="3690938" y="17998281"/>
          <a:ext cx="9921" cy="5258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287735</xdr:colOff>
      <xdr:row>102</xdr:row>
      <xdr:rowOff>0</xdr:rowOff>
    </xdr:from>
    <xdr:to>
      <xdr:col>16</xdr:col>
      <xdr:colOff>59532</xdr:colOff>
      <xdr:row>102</xdr:row>
      <xdr:rowOff>9922</xdr:rowOff>
    </xdr:to>
    <xdr:cxnSp macro="">
      <xdr:nvCxnSpPr>
        <xdr:cNvPr id="207" name="Conector recto 206">
          <a:extLst>
            <a:ext uri="{FF2B5EF4-FFF2-40B4-BE49-F238E27FC236}">
              <a16:creationId xmlns:a16="http://schemas.microsoft.com/office/drawing/2014/main" id="{98FBED97-8938-4F28-A395-74A479969132}"/>
            </a:ext>
          </a:extLst>
        </xdr:cNvPr>
        <xdr:cNvCxnSpPr/>
      </xdr:nvCxnSpPr>
      <xdr:spPr>
        <a:xfrm>
          <a:off x="3482579" y="17968516"/>
          <a:ext cx="1617266" cy="9922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344</xdr:row>
      <xdr:rowOff>133350</xdr:rowOff>
    </xdr:from>
    <xdr:to>
      <xdr:col>9</xdr:col>
      <xdr:colOff>228600</xdr:colOff>
      <xdr:row>355</xdr:row>
      <xdr:rowOff>171450</xdr:rowOff>
    </xdr:to>
    <xdr:cxnSp macro="">
      <xdr:nvCxnSpPr>
        <xdr:cNvPr id="209" name="Conector recto 208">
          <a:extLst>
            <a:ext uri="{FF2B5EF4-FFF2-40B4-BE49-F238E27FC236}">
              <a16:creationId xmlns:a16="http://schemas.microsoft.com/office/drawing/2014/main" id="{A603D4AD-4D54-4233-B791-E3DED0F27F4F}"/>
            </a:ext>
          </a:extLst>
        </xdr:cNvPr>
        <xdr:cNvCxnSpPr/>
      </xdr:nvCxnSpPr>
      <xdr:spPr>
        <a:xfrm>
          <a:off x="3244663" y="18623056"/>
          <a:ext cx="9525" cy="235771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355</xdr:row>
      <xdr:rowOff>161925</xdr:rowOff>
    </xdr:from>
    <xdr:to>
      <xdr:col>10</xdr:col>
      <xdr:colOff>317500</xdr:colOff>
      <xdr:row>355</xdr:row>
      <xdr:rowOff>178594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4B5DABB5-DA05-4A75-8BB4-52653C6AC386}"/>
            </a:ext>
          </a:extLst>
        </xdr:cNvPr>
        <xdr:cNvCxnSpPr/>
      </xdr:nvCxnSpPr>
      <xdr:spPr>
        <a:xfrm>
          <a:off x="3275013" y="65021222"/>
          <a:ext cx="435768" cy="16669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296271</xdr:colOff>
      <xdr:row>355</xdr:row>
      <xdr:rowOff>172708</xdr:rowOff>
    </xdr:from>
    <xdr:to>
      <xdr:col>10</xdr:col>
      <xdr:colOff>302979</xdr:colOff>
      <xdr:row>357</xdr:row>
      <xdr:rowOff>112338</xdr:rowOff>
    </xdr:to>
    <xdr:cxnSp macro="">
      <xdr:nvCxnSpPr>
        <xdr:cNvPr id="211" name="Conector recto 210">
          <a:extLst>
            <a:ext uri="{FF2B5EF4-FFF2-40B4-BE49-F238E27FC236}">
              <a16:creationId xmlns:a16="http://schemas.microsoft.com/office/drawing/2014/main" id="{41EFC0FF-65F2-4231-B0A3-4109F431692F}"/>
            </a:ext>
          </a:extLst>
        </xdr:cNvPr>
        <xdr:cNvCxnSpPr/>
      </xdr:nvCxnSpPr>
      <xdr:spPr>
        <a:xfrm flipH="1">
          <a:off x="3658036" y="20982032"/>
          <a:ext cx="6708" cy="3430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255671</xdr:colOff>
      <xdr:row>357</xdr:row>
      <xdr:rowOff>105276</xdr:rowOff>
    </xdr:from>
    <xdr:to>
      <xdr:col>10</xdr:col>
      <xdr:colOff>295777</xdr:colOff>
      <xdr:row>357</xdr:row>
      <xdr:rowOff>110289</xdr:rowOff>
    </xdr:to>
    <xdr:cxnSp macro="">
      <xdr:nvCxnSpPr>
        <xdr:cNvPr id="212" name="Conector recto 211">
          <a:extLst>
            <a:ext uri="{FF2B5EF4-FFF2-40B4-BE49-F238E27FC236}">
              <a16:creationId xmlns:a16="http://schemas.microsoft.com/office/drawing/2014/main" id="{087B29D6-6D73-4622-9384-2100F4AB56BB}"/>
            </a:ext>
          </a:extLst>
        </xdr:cNvPr>
        <xdr:cNvCxnSpPr/>
      </xdr:nvCxnSpPr>
      <xdr:spPr>
        <a:xfrm flipV="1">
          <a:off x="1600377" y="21318011"/>
          <a:ext cx="2057165" cy="501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260926</xdr:colOff>
      <xdr:row>355</xdr:row>
      <xdr:rowOff>177537</xdr:rowOff>
    </xdr:from>
    <xdr:to>
      <xdr:col>4</xdr:col>
      <xdr:colOff>267634</xdr:colOff>
      <xdr:row>357</xdr:row>
      <xdr:rowOff>117167</xdr:rowOff>
    </xdr:to>
    <xdr:cxnSp macro="">
      <xdr:nvCxnSpPr>
        <xdr:cNvPr id="213" name="Conector recto 212">
          <a:extLst>
            <a:ext uri="{FF2B5EF4-FFF2-40B4-BE49-F238E27FC236}">
              <a16:creationId xmlns:a16="http://schemas.microsoft.com/office/drawing/2014/main" id="{E3D33150-B15E-4104-B30B-351EE57F7C42}"/>
            </a:ext>
          </a:extLst>
        </xdr:cNvPr>
        <xdr:cNvCxnSpPr/>
      </xdr:nvCxnSpPr>
      <xdr:spPr>
        <a:xfrm flipH="1">
          <a:off x="1605632" y="20986861"/>
          <a:ext cx="6708" cy="3430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260685</xdr:colOff>
      <xdr:row>355</xdr:row>
      <xdr:rowOff>175460</xdr:rowOff>
    </xdr:from>
    <xdr:to>
      <xdr:col>5</xdr:col>
      <xdr:colOff>310815</xdr:colOff>
      <xdr:row>355</xdr:row>
      <xdr:rowOff>175460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3C624D52-AADF-421D-9D7F-D4111AF57FC3}"/>
            </a:ext>
          </a:extLst>
        </xdr:cNvPr>
        <xdr:cNvCxnSpPr/>
      </xdr:nvCxnSpPr>
      <xdr:spPr>
        <a:xfrm>
          <a:off x="1605391" y="20984784"/>
          <a:ext cx="386306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315264</xdr:colOff>
      <xdr:row>346</xdr:row>
      <xdr:rowOff>114032</xdr:rowOff>
    </xdr:from>
    <xdr:to>
      <xdr:col>8</xdr:col>
      <xdr:colOff>73785</xdr:colOff>
      <xdr:row>355</xdr:row>
      <xdr:rowOff>181109</xdr:rowOff>
    </xdr:to>
    <xdr:cxnSp macro="">
      <xdr:nvCxnSpPr>
        <xdr:cNvPr id="215" name="Conector recto 214">
          <a:extLst>
            <a:ext uri="{FF2B5EF4-FFF2-40B4-BE49-F238E27FC236}">
              <a16:creationId xmlns:a16="http://schemas.microsoft.com/office/drawing/2014/main" id="{14B332F3-3397-40CA-A94F-9E11BA7A8D50}"/>
            </a:ext>
          </a:extLst>
        </xdr:cNvPr>
        <xdr:cNvCxnSpPr/>
      </xdr:nvCxnSpPr>
      <xdr:spPr>
        <a:xfrm flipV="1">
          <a:off x="1996146" y="19119208"/>
          <a:ext cx="767051" cy="1871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288433</xdr:colOff>
      <xdr:row>344</xdr:row>
      <xdr:rowOff>134155</xdr:rowOff>
    </xdr:from>
    <xdr:to>
      <xdr:col>9</xdr:col>
      <xdr:colOff>221355</xdr:colOff>
      <xdr:row>344</xdr:row>
      <xdr:rowOff>140863</xdr:rowOff>
    </xdr:to>
    <xdr:cxnSp macro="">
      <xdr:nvCxnSpPr>
        <xdr:cNvPr id="216" name="Conector recto 215">
          <a:extLst>
            <a:ext uri="{FF2B5EF4-FFF2-40B4-BE49-F238E27FC236}">
              <a16:creationId xmlns:a16="http://schemas.microsoft.com/office/drawing/2014/main" id="{A1979968-CACA-4806-9A82-1F5A92E820F6}"/>
            </a:ext>
          </a:extLst>
        </xdr:cNvPr>
        <xdr:cNvCxnSpPr/>
      </xdr:nvCxnSpPr>
      <xdr:spPr>
        <a:xfrm flipV="1">
          <a:off x="2977845" y="18623861"/>
          <a:ext cx="269098" cy="670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73785</xdr:colOff>
      <xdr:row>346</xdr:row>
      <xdr:rowOff>120739</xdr:rowOff>
    </xdr:from>
    <xdr:to>
      <xdr:col>8</xdr:col>
      <xdr:colOff>281725</xdr:colOff>
      <xdr:row>346</xdr:row>
      <xdr:rowOff>120739</xdr:rowOff>
    </xdr:to>
    <xdr:cxnSp macro="">
      <xdr:nvCxnSpPr>
        <xdr:cNvPr id="217" name="Conector recto 216">
          <a:extLst>
            <a:ext uri="{FF2B5EF4-FFF2-40B4-BE49-F238E27FC236}">
              <a16:creationId xmlns:a16="http://schemas.microsoft.com/office/drawing/2014/main" id="{0810623A-DD94-496F-90F4-990C63FCC878}"/>
            </a:ext>
          </a:extLst>
        </xdr:cNvPr>
        <xdr:cNvCxnSpPr/>
      </xdr:nvCxnSpPr>
      <xdr:spPr>
        <a:xfrm>
          <a:off x="2763197" y="19125915"/>
          <a:ext cx="20794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275018</xdr:colOff>
      <xdr:row>344</xdr:row>
      <xdr:rowOff>134155</xdr:rowOff>
    </xdr:from>
    <xdr:to>
      <xdr:col>8</xdr:col>
      <xdr:colOff>281725</xdr:colOff>
      <xdr:row>346</xdr:row>
      <xdr:rowOff>120739</xdr:rowOff>
    </xdr:to>
    <xdr:cxnSp macro="">
      <xdr:nvCxnSpPr>
        <xdr:cNvPr id="218" name="Conector recto 217">
          <a:extLst>
            <a:ext uri="{FF2B5EF4-FFF2-40B4-BE49-F238E27FC236}">
              <a16:creationId xmlns:a16="http://schemas.microsoft.com/office/drawing/2014/main" id="{FB2597A2-D3B8-4CA5-BA58-9E75723E76B9}"/>
            </a:ext>
          </a:extLst>
        </xdr:cNvPr>
        <xdr:cNvCxnSpPr/>
      </xdr:nvCxnSpPr>
      <xdr:spPr>
        <a:xfrm flipH="1">
          <a:off x="2964430" y="18623861"/>
          <a:ext cx="6707" cy="50205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267890</xdr:colOff>
      <xdr:row>357</xdr:row>
      <xdr:rowOff>178593</xdr:rowOff>
    </xdr:from>
    <xdr:to>
      <xdr:col>11</xdr:col>
      <xdr:colOff>0</xdr:colOff>
      <xdr:row>358</xdr:row>
      <xdr:rowOff>0</xdr:rowOff>
    </xdr:to>
    <xdr:cxnSp macro="">
      <xdr:nvCxnSpPr>
        <xdr:cNvPr id="221" name="Conector recto de flecha 220">
          <a:extLst>
            <a:ext uri="{FF2B5EF4-FFF2-40B4-BE49-F238E27FC236}">
              <a16:creationId xmlns:a16="http://schemas.microsoft.com/office/drawing/2014/main" id="{71F615C2-08C4-4D1D-8ECB-2E8500344BF9}"/>
            </a:ext>
          </a:extLst>
        </xdr:cNvPr>
        <xdr:cNvCxnSpPr/>
      </xdr:nvCxnSpPr>
      <xdr:spPr>
        <a:xfrm>
          <a:off x="1612596" y="21391328"/>
          <a:ext cx="2085345" cy="119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235032</xdr:colOff>
      <xdr:row>357</xdr:row>
      <xdr:rowOff>68036</xdr:rowOff>
    </xdr:from>
    <xdr:to>
      <xdr:col>4</xdr:col>
      <xdr:colOff>309253</xdr:colOff>
      <xdr:row>357</xdr:row>
      <xdr:rowOff>136072</xdr:rowOff>
    </xdr:to>
    <xdr:sp macro="" textlink="">
      <xdr:nvSpPr>
        <xdr:cNvPr id="253" name="Elipse 252">
          <a:extLst>
            <a:ext uri="{FF2B5EF4-FFF2-40B4-BE49-F238E27FC236}">
              <a16:creationId xmlns:a16="http://schemas.microsoft.com/office/drawing/2014/main" id="{3223E87E-15A0-4B99-9BFF-DB6E97EFA65F}"/>
            </a:ext>
          </a:extLst>
        </xdr:cNvPr>
        <xdr:cNvSpPr/>
      </xdr:nvSpPr>
      <xdr:spPr>
        <a:xfrm>
          <a:off x="1579738" y="21280771"/>
          <a:ext cx="74221" cy="6803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61851</xdr:colOff>
      <xdr:row>357</xdr:row>
      <xdr:rowOff>43296</xdr:rowOff>
    </xdr:from>
    <xdr:to>
      <xdr:col>4</xdr:col>
      <xdr:colOff>253588</xdr:colOff>
      <xdr:row>358</xdr:row>
      <xdr:rowOff>68036</xdr:rowOff>
    </xdr:to>
    <xdr:sp macro="" textlink="">
      <xdr:nvSpPr>
        <xdr:cNvPr id="254" name="CuadroTexto 253">
          <a:extLst>
            <a:ext uri="{FF2B5EF4-FFF2-40B4-BE49-F238E27FC236}">
              <a16:creationId xmlns:a16="http://schemas.microsoft.com/office/drawing/2014/main" id="{726C5B39-4F0E-4C35-A7CC-3CDFDA4188DE}"/>
            </a:ext>
          </a:extLst>
        </xdr:cNvPr>
        <xdr:cNvSpPr txBox="1"/>
      </xdr:nvSpPr>
      <xdr:spPr>
        <a:xfrm>
          <a:off x="1406557" y="21256031"/>
          <a:ext cx="191737" cy="21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19</xdr:col>
      <xdr:colOff>219075</xdr:colOff>
      <xdr:row>344</xdr:row>
      <xdr:rowOff>133350</xdr:rowOff>
    </xdr:from>
    <xdr:to>
      <xdr:col>19</xdr:col>
      <xdr:colOff>228600</xdr:colOff>
      <xdr:row>355</xdr:row>
      <xdr:rowOff>171450</xdr:rowOff>
    </xdr:to>
    <xdr:cxnSp macro="">
      <xdr:nvCxnSpPr>
        <xdr:cNvPr id="268" name="Conector recto 267">
          <a:extLst>
            <a:ext uri="{FF2B5EF4-FFF2-40B4-BE49-F238E27FC236}">
              <a16:creationId xmlns:a16="http://schemas.microsoft.com/office/drawing/2014/main" id="{751A214F-30D1-4705-8901-7489DC8A6882}"/>
            </a:ext>
          </a:extLst>
        </xdr:cNvPr>
        <xdr:cNvCxnSpPr/>
      </xdr:nvCxnSpPr>
      <xdr:spPr>
        <a:xfrm>
          <a:off x="3196891" y="63188850"/>
          <a:ext cx="9525" cy="2133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219075</xdr:colOff>
      <xdr:row>355</xdr:row>
      <xdr:rowOff>161925</xdr:rowOff>
    </xdr:from>
    <xdr:to>
      <xdr:col>21</xdr:col>
      <xdr:colOff>0</xdr:colOff>
      <xdr:row>355</xdr:row>
      <xdr:rowOff>170447</xdr:rowOff>
    </xdr:to>
    <xdr:cxnSp macro="">
      <xdr:nvCxnSpPr>
        <xdr:cNvPr id="269" name="Conector recto 268">
          <a:extLst>
            <a:ext uri="{FF2B5EF4-FFF2-40B4-BE49-F238E27FC236}">
              <a16:creationId xmlns:a16="http://schemas.microsoft.com/office/drawing/2014/main" id="{4EB1EC3C-772B-43EF-8FAA-2ECBBBA14603}"/>
            </a:ext>
          </a:extLst>
        </xdr:cNvPr>
        <xdr:cNvCxnSpPr/>
      </xdr:nvCxnSpPr>
      <xdr:spPr>
        <a:xfrm>
          <a:off x="3196891" y="65312925"/>
          <a:ext cx="442662" cy="852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296271</xdr:colOff>
      <xdr:row>355</xdr:row>
      <xdr:rowOff>172708</xdr:rowOff>
    </xdr:from>
    <xdr:to>
      <xdr:col>20</xdr:col>
      <xdr:colOff>302979</xdr:colOff>
      <xdr:row>357</xdr:row>
      <xdr:rowOff>112338</xdr:rowOff>
    </xdr:to>
    <xdr:cxnSp macro="">
      <xdr:nvCxnSpPr>
        <xdr:cNvPr id="270" name="Conector recto 269">
          <a:extLst>
            <a:ext uri="{FF2B5EF4-FFF2-40B4-BE49-F238E27FC236}">
              <a16:creationId xmlns:a16="http://schemas.microsoft.com/office/drawing/2014/main" id="{5D40CD28-CBAA-4C02-BF24-386699D44C06}"/>
            </a:ext>
          </a:extLst>
        </xdr:cNvPr>
        <xdr:cNvCxnSpPr/>
      </xdr:nvCxnSpPr>
      <xdr:spPr>
        <a:xfrm flipH="1">
          <a:off x="3604955" y="65323708"/>
          <a:ext cx="6708" cy="3206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255671</xdr:colOff>
      <xdr:row>357</xdr:row>
      <xdr:rowOff>105276</xdr:rowOff>
    </xdr:from>
    <xdr:to>
      <xdr:col>20</xdr:col>
      <xdr:colOff>295777</xdr:colOff>
      <xdr:row>357</xdr:row>
      <xdr:rowOff>110289</xdr:rowOff>
    </xdr:to>
    <xdr:cxnSp macro="">
      <xdr:nvCxnSpPr>
        <xdr:cNvPr id="271" name="Conector recto 270">
          <a:extLst>
            <a:ext uri="{FF2B5EF4-FFF2-40B4-BE49-F238E27FC236}">
              <a16:creationId xmlns:a16="http://schemas.microsoft.com/office/drawing/2014/main" id="{98D5E5A9-8397-44CA-9B4C-B3B677237626}"/>
            </a:ext>
          </a:extLst>
        </xdr:cNvPr>
        <xdr:cNvCxnSpPr/>
      </xdr:nvCxnSpPr>
      <xdr:spPr>
        <a:xfrm flipV="1">
          <a:off x="1579145" y="65637276"/>
          <a:ext cx="2025316" cy="501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260926</xdr:colOff>
      <xdr:row>355</xdr:row>
      <xdr:rowOff>177537</xdr:rowOff>
    </xdr:from>
    <xdr:to>
      <xdr:col>14</xdr:col>
      <xdr:colOff>267634</xdr:colOff>
      <xdr:row>357</xdr:row>
      <xdr:rowOff>117167</xdr:rowOff>
    </xdr:to>
    <xdr:cxnSp macro="">
      <xdr:nvCxnSpPr>
        <xdr:cNvPr id="272" name="Conector recto 271">
          <a:extLst>
            <a:ext uri="{FF2B5EF4-FFF2-40B4-BE49-F238E27FC236}">
              <a16:creationId xmlns:a16="http://schemas.microsoft.com/office/drawing/2014/main" id="{E8629719-85DB-4D03-A8BF-E10CB25C1511}"/>
            </a:ext>
          </a:extLst>
        </xdr:cNvPr>
        <xdr:cNvCxnSpPr/>
      </xdr:nvCxnSpPr>
      <xdr:spPr>
        <a:xfrm flipH="1">
          <a:off x="1584400" y="65328537"/>
          <a:ext cx="6708" cy="3206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260685</xdr:colOff>
      <xdr:row>355</xdr:row>
      <xdr:rowOff>175460</xdr:rowOff>
    </xdr:from>
    <xdr:to>
      <xdr:col>15</xdr:col>
      <xdr:colOff>310815</xdr:colOff>
      <xdr:row>355</xdr:row>
      <xdr:rowOff>175460</xdr:rowOff>
    </xdr:to>
    <xdr:cxnSp macro="">
      <xdr:nvCxnSpPr>
        <xdr:cNvPr id="273" name="Conector recto 272">
          <a:extLst>
            <a:ext uri="{FF2B5EF4-FFF2-40B4-BE49-F238E27FC236}">
              <a16:creationId xmlns:a16="http://schemas.microsoft.com/office/drawing/2014/main" id="{A79FB1C2-EA41-47DE-A516-0EA5A596B0A9}"/>
            </a:ext>
          </a:extLst>
        </xdr:cNvPr>
        <xdr:cNvCxnSpPr/>
      </xdr:nvCxnSpPr>
      <xdr:spPr>
        <a:xfrm>
          <a:off x="1584159" y="65326460"/>
          <a:ext cx="380998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315264</xdr:colOff>
      <xdr:row>346</xdr:row>
      <xdr:rowOff>114032</xdr:rowOff>
    </xdr:from>
    <xdr:to>
      <xdr:col>18</xdr:col>
      <xdr:colOff>73785</xdr:colOff>
      <xdr:row>355</xdr:row>
      <xdr:rowOff>181109</xdr:rowOff>
    </xdr:to>
    <xdr:cxnSp macro="">
      <xdr:nvCxnSpPr>
        <xdr:cNvPr id="274" name="Conector recto 273">
          <a:extLst>
            <a:ext uri="{FF2B5EF4-FFF2-40B4-BE49-F238E27FC236}">
              <a16:creationId xmlns:a16="http://schemas.microsoft.com/office/drawing/2014/main" id="{2D9463E0-9E07-4C40-A09C-C2CF2804CB22}"/>
            </a:ext>
          </a:extLst>
        </xdr:cNvPr>
        <xdr:cNvCxnSpPr/>
      </xdr:nvCxnSpPr>
      <xdr:spPr>
        <a:xfrm flipV="1">
          <a:off x="1969606" y="63550532"/>
          <a:ext cx="751126" cy="17815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288433</xdr:colOff>
      <xdr:row>344</xdr:row>
      <xdr:rowOff>134155</xdr:rowOff>
    </xdr:from>
    <xdr:to>
      <xdr:col>19</xdr:col>
      <xdr:colOff>221355</xdr:colOff>
      <xdr:row>344</xdr:row>
      <xdr:rowOff>140863</xdr:rowOff>
    </xdr:to>
    <xdr:cxnSp macro="">
      <xdr:nvCxnSpPr>
        <xdr:cNvPr id="275" name="Conector recto 274">
          <a:extLst>
            <a:ext uri="{FF2B5EF4-FFF2-40B4-BE49-F238E27FC236}">
              <a16:creationId xmlns:a16="http://schemas.microsoft.com/office/drawing/2014/main" id="{23AD7808-89D4-43B4-8B3E-EBE145DAE0F8}"/>
            </a:ext>
          </a:extLst>
        </xdr:cNvPr>
        <xdr:cNvCxnSpPr/>
      </xdr:nvCxnSpPr>
      <xdr:spPr>
        <a:xfrm flipV="1">
          <a:off x="2935380" y="63189655"/>
          <a:ext cx="263791" cy="670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73785</xdr:colOff>
      <xdr:row>346</xdr:row>
      <xdr:rowOff>120739</xdr:rowOff>
    </xdr:from>
    <xdr:to>
      <xdr:col>18</xdr:col>
      <xdr:colOff>281725</xdr:colOff>
      <xdr:row>346</xdr:row>
      <xdr:rowOff>120739</xdr:rowOff>
    </xdr:to>
    <xdr:cxnSp macro="">
      <xdr:nvCxnSpPr>
        <xdr:cNvPr id="276" name="Conector recto 275">
          <a:extLst>
            <a:ext uri="{FF2B5EF4-FFF2-40B4-BE49-F238E27FC236}">
              <a16:creationId xmlns:a16="http://schemas.microsoft.com/office/drawing/2014/main" id="{D41EF1A2-53F9-4022-9A3D-930260C763EA}"/>
            </a:ext>
          </a:extLst>
        </xdr:cNvPr>
        <xdr:cNvCxnSpPr/>
      </xdr:nvCxnSpPr>
      <xdr:spPr>
        <a:xfrm>
          <a:off x="2720732" y="63557239"/>
          <a:ext cx="20794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275018</xdr:colOff>
      <xdr:row>344</xdr:row>
      <xdr:rowOff>134155</xdr:rowOff>
    </xdr:from>
    <xdr:to>
      <xdr:col>18</xdr:col>
      <xdr:colOff>281725</xdr:colOff>
      <xdr:row>346</xdr:row>
      <xdr:rowOff>120739</xdr:rowOff>
    </xdr:to>
    <xdr:cxnSp macro="">
      <xdr:nvCxnSpPr>
        <xdr:cNvPr id="277" name="Conector recto 276">
          <a:extLst>
            <a:ext uri="{FF2B5EF4-FFF2-40B4-BE49-F238E27FC236}">
              <a16:creationId xmlns:a16="http://schemas.microsoft.com/office/drawing/2014/main" id="{6300E5BC-D584-41E9-9D75-8E02B9D07779}"/>
            </a:ext>
          </a:extLst>
        </xdr:cNvPr>
        <xdr:cNvCxnSpPr/>
      </xdr:nvCxnSpPr>
      <xdr:spPr>
        <a:xfrm flipH="1">
          <a:off x="2921965" y="63189655"/>
          <a:ext cx="6707" cy="36758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227784</xdr:colOff>
      <xdr:row>357</xdr:row>
      <xdr:rowOff>178593</xdr:rowOff>
    </xdr:from>
    <xdr:to>
      <xdr:col>17</xdr:col>
      <xdr:colOff>300789</xdr:colOff>
      <xdr:row>358</xdr:row>
      <xdr:rowOff>0</xdr:rowOff>
    </xdr:to>
    <xdr:cxnSp macro="">
      <xdr:nvCxnSpPr>
        <xdr:cNvPr id="278" name="Conector recto de flecha 277">
          <a:extLst>
            <a:ext uri="{FF2B5EF4-FFF2-40B4-BE49-F238E27FC236}">
              <a16:creationId xmlns:a16="http://schemas.microsoft.com/office/drawing/2014/main" id="{BA24BDE7-7D45-4340-A19A-94BACA42A2FB}"/>
            </a:ext>
          </a:extLst>
        </xdr:cNvPr>
        <xdr:cNvCxnSpPr/>
      </xdr:nvCxnSpPr>
      <xdr:spPr>
        <a:xfrm>
          <a:off x="4859942" y="65710593"/>
          <a:ext cx="1065610" cy="119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235032</xdr:colOff>
      <xdr:row>357</xdr:row>
      <xdr:rowOff>68036</xdr:rowOff>
    </xdr:from>
    <xdr:to>
      <xdr:col>14</xdr:col>
      <xdr:colOff>309253</xdr:colOff>
      <xdr:row>357</xdr:row>
      <xdr:rowOff>136072</xdr:rowOff>
    </xdr:to>
    <xdr:sp macro="" textlink="">
      <xdr:nvSpPr>
        <xdr:cNvPr id="279" name="Elipse 278">
          <a:extLst>
            <a:ext uri="{FF2B5EF4-FFF2-40B4-BE49-F238E27FC236}">
              <a16:creationId xmlns:a16="http://schemas.microsoft.com/office/drawing/2014/main" id="{E67E7F43-8B00-41A0-A176-38790278593E}"/>
            </a:ext>
          </a:extLst>
        </xdr:cNvPr>
        <xdr:cNvSpPr/>
      </xdr:nvSpPr>
      <xdr:spPr>
        <a:xfrm>
          <a:off x="1558506" y="65600036"/>
          <a:ext cx="74221" cy="6803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61851</xdr:colOff>
      <xdr:row>357</xdr:row>
      <xdr:rowOff>43296</xdr:rowOff>
    </xdr:from>
    <xdr:to>
      <xdr:col>14</xdr:col>
      <xdr:colOff>253588</xdr:colOff>
      <xdr:row>358</xdr:row>
      <xdr:rowOff>68036</xdr:rowOff>
    </xdr:to>
    <xdr:sp macro="" textlink="">
      <xdr:nvSpPr>
        <xdr:cNvPr id="280" name="CuadroTexto 279">
          <a:extLst>
            <a:ext uri="{FF2B5EF4-FFF2-40B4-BE49-F238E27FC236}">
              <a16:creationId xmlns:a16="http://schemas.microsoft.com/office/drawing/2014/main" id="{7FB6633F-90EA-4A98-8592-AD0CB5B187B7}"/>
            </a:ext>
          </a:extLst>
        </xdr:cNvPr>
        <xdr:cNvSpPr txBox="1"/>
      </xdr:nvSpPr>
      <xdr:spPr>
        <a:xfrm>
          <a:off x="1385325" y="65575296"/>
          <a:ext cx="191737" cy="21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17</xdr:col>
      <xdr:colOff>269896</xdr:colOff>
      <xdr:row>358</xdr:row>
      <xdr:rowOff>10151</xdr:rowOff>
    </xdr:from>
    <xdr:to>
      <xdr:col>21</xdr:col>
      <xdr:colOff>12032</xdr:colOff>
      <xdr:row>358</xdr:row>
      <xdr:rowOff>22058</xdr:rowOff>
    </xdr:to>
    <xdr:cxnSp macro="">
      <xdr:nvCxnSpPr>
        <xdr:cNvPr id="282" name="Conector recto de flecha 281">
          <a:extLst>
            <a:ext uri="{FF2B5EF4-FFF2-40B4-BE49-F238E27FC236}">
              <a16:creationId xmlns:a16="http://schemas.microsoft.com/office/drawing/2014/main" id="{4936D3FC-FD91-4E04-86C8-AB122E1BD10D}"/>
            </a:ext>
          </a:extLst>
        </xdr:cNvPr>
        <xdr:cNvCxnSpPr/>
      </xdr:nvCxnSpPr>
      <xdr:spPr>
        <a:xfrm>
          <a:off x="5894659" y="65732651"/>
          <a:ext cx="1065610" cy="119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300790</xdr:colOff>
      <xdr:row>349</xdr:row>
      <xdr:rowOff>50131</xdr:rowOff>
    </xdr:from>
    <xdr:to>
      <xdr:col>17</xdr:col>
      <xdr:colOff>300790</xdr:colOff>
      <xdr:row>358</xdr:row>
      <xdr:rowOff>124</xdr:rowOff>
    </xdr:to>
    <xdr:cxnSp macro="">
      <xdr:nvCxnSpPr>
        <xdr:cNvPr id="283" name="Conector recto 282">
          <a:extLst>
            <a:ext uri="{FF2B5EF4-FFF2-40B4-BE49-F238E27FC236}">
              <a16:creationId xmlns:a16="http://schemas.microsoft.com/office/drawing/2014/main" id="{8160B709-9C02-44FE-9C4D-240AA71A7CAF}"/>
            </a:ext>
          </a:extLst>
        </xdr:cNvPr>
        <xdr:cNvCxnSpPr/>
      </xdr:nvCxnSpPr>
      <xdr:spPr>
        <a:xfrm>
          <a:off x="5925553" y="64058131"/>
          <a:ext cx="0" cy="1664493"/>
        </a:xfrm>
        <a:prstGeom prst="line">
          <a:avLst/>
        </a:prstGeom>
        <a:ln w="9525">
          <a:solidFill>
            <a:srgbClr val="FFFF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100263</xdr:colOff>
      <xdr:row>353</xdr:row>
      <xdr:rowOff>30079</xdr:rowOff>
    </xdr:from>
    <xdr:to>
      <xdr:col>17</xdr:col>
      <xdr:colOff>100263</xdr:colOff>
      <xdr:row>357</xdr:row>
      <xdr:rowOff>49050</xdr:rowOff>
    </xdr:to>
    <xdr:cxnSp macro="">
      <xdr:nvCxnSpPr>
        <xdr:cNvPr id="284" name="Conector recto de flecha 283">
          <a:extLst>
            <a:ext uri="{FF2B5EF4-FFF2-40B4-BE49-F238E27FC236}">
              <a16:creationId xmlns:a16="http://schemas.microsoft.com/office/drawing/2014/main" id="{02E378AB-6383-4854-BDA2-10DCDA105082}"/>
            </a:ext>
          </a:extLst>
        </xdr:cNvPr>
        <xdr:cNvCxnSpPr/>
      </xdr:nvCxnSpPr>
      <xdr:spPr>
        <a:xfrm>
          <a:off x="5725026" y="64800079"/>
          <a:ext cx="0" cy="780971"/>
        </a:xfrm>
        <a:prstGeom prst="straightConnector1">
          <a:avLst/>
        </a:prstGeom>
        <a:ln w="38100">
          <a:solidFill>
            <a:srgbClr val="0432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150395</xdr:colOff>
      <xdr:row>352</xdr:row>
      <xdr:rowOff>94327</xdr:rowOff>
    </xdr:from>
    <xdr:to>
      <xdr:col>17</xdr:col>
      <xdr:colOff>310440</xdr:colOff>
      <xdr:row>352</xdr:row>
      <xdr:rowOff>100263</xdr:rowOff>
    </xdr:to>
    <xdr:cxnSp macro="">
      <xdr:nvCxnSpPr>
        <xdr:cNvPr id="285" name="Conector recto 284">
          <a:extLst>
            <a:ext uri="{FF2B5EF4-FFF2-40B4-BE49-F238E27FC236}">
              <a16:creationId xmlns:a16="http://schemas.microsoft.com/office/drawing/2014/main" id="{E5AB3274-ADA7-4869-9593-31F2BCD35D92}"/>
            </a:ext>
          </a:extLst>
        </xdr:cNvPr>
        <xdr:cNvCxnSpPr/>
      </xdr:nvCxnSpPr>
      <xdr:spPr>
        <a:xfrm flipV="1">
          <a:off x="4782553" y="64673827"/>
          <a:ext cx="1152650" cy="5936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275664</xdr:colOff>
      <xdr:row>352</xdr:row>
      <xdr:rowOff>9599</xdr:rowOff>
    </xdr:from>
    <xdr:to>
      <xdr:col>14</xdr:col>
      <xdr:colOff>275664</xdr:colOff>
      <xdr:row>353</xdr:row>
      <xdr:rowOff>36700</xdr:rowOff>
    </xdr:to>
    <xdr:cxnSp macro="">
      <xdr:nvCxnSpPr>
        <xdr:cNvPr id="286" name="Conector recto 285">
          <a:extLst>
            <a:ext uri="{FF2B5EF4-FFF2-40B4-BE49-F238E27FC236}">
              <a16:creationId xmlns:a16="http://schemas.microsoft.com/office/drawing/2014/main" id="{B9017534-A6E2-4A0C-82D1-11A54C2E50CB}"/>
            </a:ext>
          </a:extLst>
        </xdr:cNvPr>
        <xdr:cNvCxnSpPr/>
      </xdr:nvCxnSpPr>
      <xdr:spPr>
        <a:xfrm>
          <a:off x="4907822" y="64589099"/>
          <a:ext cx="0" cy="217601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96917</xdr:colOff>
      <xdr:row>351</xdr:row>
      <xdr:rowOff>190499</xdr:rowOff>
    </xdr:from>
    <xdr:to>
      <xdr:col>17</xdr:col>
      <xdr:colOff>96917</xdr:colOff>
      <xdr:row>353</xdr:row>
      <xdr:rowOff>19843</xdr:rowOff>
    </xdr:to>
    <xdr:cxnSp macro="">
      <xdr:nvCxnSpPr>
        <xdr:cNvPr id="287" name="Conector recto 286">
          <a:extLst>
            <a:ext uri="{FF2B5EF4-FFF2-40B4-BE49-F238E27FC236}">
              <a16:creationId xmlns:a16="http://schemas.microsoft.com/office/drawing/2014/main" id="{42ADE52E-D8DB-41B0-9287-0BD12110E057}"/>
            </a:ext>
          </a:extLst>
        </xdr:cNvPr>
        <xdr:cNvCxnSpPr/>
      </xdr:nvCxnSpPr>
      <xdr:spPr>
        <a:xfrm>
          <a:off x="5721680" y="64579499"/>
          <a:ext cx="0" cy="210344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286721</xdr:colOff>
      <xdr:row>352</xdr:row>
      <xdr:rowOff>264</xdr:rowOff>
    </xdr:from>
    <xdr:to>
      <xdr:col>17</xdr:col>
      <xdr:colOff>286721</xdr:colOff>
      <xdr:row>353</xdr:row>
      <xdr:rowOff>20108</xdr:rowOff>
    </xdr:to>
    <xdr:cxnSp macro="">
      <xdr:nvCxnSpPr>
        <xdr:cNvPr id="288" name="Conector recto 287">
          <a:extLst>
            <a:ext uri="{FF2B5EF4-FFF2-40B4-BE49-F238E27FC236}">
              <a16:creationId xmlns:a16="http://schemas.microsoft.com/office/drawing/2014/main" id="{ECE0C8D0-98D2-490A-AE56-329D82EEAFEA}"/>
            </a:ext>
          </a:extLst>
        </xdr:cNvPr>
        <xdr:cNvCxnSpPr/>
      </xdr:nvCxnSpPr>
      <xdr:spPr>
        <a:xfrm>
          <a:off x="5911484" y="64579764"/>
          <a:ext cx="0" cy="210344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248151</xdr:colOff>
      <xdr:row>353</xdr:row>
      <xdr:rowOff>52757</xdr:rowOff>
    </xdr:from>
    <xdr:to>
      <xdr:col>4</xdr:col>
      <xdr:colOff>248151</xdr:colOff>
      <xdr:row>357</xdr:row>
      <xdr:rowOff>71728</xdr:rowOff>
    </xdr:to>
    <xdr:cxnSp macro="">
      <xdr:nvCxnSpPr>
        <xdr:cNvPr id="293" name="Conector recto de flecha 292">
          <a:extLst>
            <a:ext uri="{FF2B5EF4-FFF2-40B4-BE49-F238E27FC236}">
              <a16:creationId xmlns:a16="http://schemas.microsoft.com/office/drawing/2014/main" id="{E6AD832A-35AD-4AB2-A69C-7C492AB51D63}"/>
            </a:ext>
          </a:extLst>
        </xdr:cNvPr>
        <xdr:cNvCxnSpPr/>
      </xdr:nvCxnSpPr>
      <xdr:spPr>
        <a:xfrm>
          <a:off x="1563508" y="65605168"/>
          <a:ext cx="0" cy="790042"/>
        </a:xfrm>
        <a:prstGeom prst="straightConnector1">
          <a:avLst/>
        </a:prstGeom>
        <a:ln w="38100">
          <a:solidFill>
            <a:srgbClr val="0432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44964</xdr:colOff>
      <xdr:row>352</xdr:row>
      <xdr:rowOff>113392</xdr:rowOff>
    </xdr:from>
    <xdr:to>
      <xdr:col>7</xdr:col>
      <xdr:colOff>11339</xdr:colOff>
      <xdr:row>356</xdr:row>
      <xdr:rowOff>125456</xdr:rowOff>
    </xdr:to>
    <xdr:sp macro="" textlink="">
      <xdr:nvSpPr>
        <xdr:cNvPr id="296" name="Flecha circular 50">
          <a:extLst>
            <a:ext uri="{FF2B5EF4-FFF2-40B4-BE49-F238E27FC236}">
              <a16:creationId xmlns:a16="http://schemas.microsoft.com/office/drawing/2014/main" id="{29304CD7-89EA-43A3-A3AE-62D62E588301}"/>
            </a:ext>
          </a:extLst>
        </xdr:cNvPr>
        <xdr:cNvSpPr/>
      </xdr:nvSpPr>
      <xdr:spPr>
        <a:xfrm>
          <a:off x="1360321" y="65473035"/>
          <a:ext cx="952893" cy="783135"/>
        </a:xfrm>
        <a:prstGeom prst="circularArrow">
          <a:avLst>
            <a:gd name="adj1" fmla="val 3253"/>
            <a:gd name="adj2" fmla="val 1282817"/>
            <a:gd name="adj3" fmla="val 630041"/>
            <a:gd name="adj4" fmla="val 10128746"/>
            <a:gd name="adj5" fmla="val 11218"/>
          </a:avLst>
        </a:prstGeom>
        <a:solidFill>
          <a:srgbClr val="FF40FF"/>
        </a:solidFill>
        <a:ln>
          <a:solidFill>
            <a:srgbClr val="FF4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260803</xdr:colOff>
      <xdr:row>352</xdr:row>
      <xdr:rowOff>131610</xdr:rowOff>
    </xdr:from>
    <xdr:to>
      <xdr:col>5</xdr:col>
      <xdr:colOff>165890</xdr:colOff>
      <xdr:row>357</xdr:row>
      <xdr:rowOff>86978</xdr:rowOff>
    </xdr:to>
    <xdr:sp macro="" textlink="">
      <xdr:nvSpPr>
        <xdr:cNvPr id="297" name="Flecha circular 200">
          <a:extLst>
            <a:ext uri="{FF2B5EF4-FFF2-40B4-BE49-F238E27FC236}">
              <a16:creationId xmlns:a16="http://schemas.microsoft.com/office/drawing/2014/main" id="{A0FF00A1-4F8D-448E-ABEC-4FB4E19D2E11}"/>
            </a:ext>
          </a:extLst>
        </xdr:cNvPr>
        <xdr:cNvSpPr/>
      </xdr:nvSpPr>
      <xdr:spPr>
        <a:xfrm flipH="1">
          <a:off x="918482" y="65491253"/>
          <a:ext cx="891604" cy="919207"/>
        </a:xfrm>
        <a:prstGeom prst="circularArrow">
          <a:avLst>
            <a:gd name="adj1" fmla="val 3253"/>
            <a:gd name="adj2" fmla="val 1282817"/>
            <a:gd name="adj3" fmla="val 630041"/>
            <a:gd name="adj4" fmla="val 10800000"/>
            <a:gd name="adj5" fmla="val 11218"/>
          </a:avLst>
        </a:prstGeom>
        <a:solidFill>
          <a:srgbClr val="FF40FF"/>
        </a:solidFill>
        <a:ln>
          <a:solidFill>
            <a:srgbClr val="FF4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solidFill>
              <a:schemeClr val="tx1"/>
            </a:solidFill>
          </a:endParaRPr>
        </a:p>
      </xdr:txBody>
    </xdr:sp>
    <xdr:clientData/>
  </xdr:twoCellAnchor>
  <xdr:oneCellAnchor>
    <xdr:from>
      <xdr:col>11</xdr:col>
      <xdr:colOff>98425</xdr:colOff>
      <xdr:row>360</xdr:row>
      <xdr:rowOff>54336</xdr:rowOff>
    </xdr:from>
    <xdr:ext cx="800604" cy="363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8" name="CuadroTexto 297">
              <a:extLst>
                <a:ext uri="{FF2B5EF4-FFF2-40B4-BE49-F238E27FC236}">
                  <a16:creationId xmlns:a16="http://schemas.microsoft.com/office/drawing/2014/main" id="{E9B8A127-A97D-4E27-A5BE-527295BACE09}"/>
                </a:ext>
              </a:extLst>
            </xdr:cNvPr>
            <xdr:cNvSpPr txBox="1"/>
          </xdr:nvSpPr>
          <xdr:spPr>
            <a:xfrm>
              <a:off x="3715657" y="66956122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_tradnl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Mvu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 −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Mhu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Vu</m:t>
                      </m:r>
                    </m:den>
                  </m:f>
                </m:oMath>
              </a14:m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298" name="CuadroTexto 297">
              <a:extLst>
                <a:ext uri="{FF2B5EF4-FFF2-40B4-BE49-F238E27FC236}">
                  <a16:creationId xmlns:a16="http://schemas.microsoft.com/office/drawing/2014/main" id="{E9B8A127-A97D-4E27-A5BE-527295BACE09}"/>
                </a:ext>
              </a:extLst>
            </xdr:cNvPr>
            <xdr:cNvSpPr txBox="1"/>
          </xdr:nvSpPr>
          <xdr:spPr>
            <a:xfrm>
              <a:off x="3715657" y="66956122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"Mvu −Mhu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"Vu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14</xdr:col>
      <xdr:colOff>267788</xdr:colOff>
      <xdr:row>360</xdr:row>
      <xdr:rowOff>31660</xdr:rowOff>
    </xdr:from>
    <xdr:ext cx="502920" cy="356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9" name="CuadroTexto 298">
              <a:extLst>
                <a:ext uri="{FF2B5EF4-FFF2-40B4-BE49-F238E27FC236}">
                  <a16:creationId xmlns:a16="http://schemas.microsoft.com/office/drawing/2014/main" id="{B1E62C1C-8029-4733-A282-13D1C085D4B4}"/>
                </a:ext>
              </a:extLst>
            </xdr:cNvPr>
            <xdr:cNvSpPr txBox="1"/>
          </xdr:nvSpPr>
          <xdr:spPr>
            <a:xfrm>
              <a:off x="4871538" y="66933446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B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2</m:t>
                      </m:r>
                    </m:den>
                  </m:f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−</m:t>
                  </m:r>
                  <m:sSub>
                    <m:sSub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</m:oMath>
              </a14:m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299" name="CuadroTexto 298">
              <a:extLst>
                <a:ext uri="{FF2B5EF4-FFF2-40B4-BE49-F238E27FC236}">
                  <a16:creationId xmlns:a16="http://schemas.microsoft.com/office/drawing/2014/main" id="{B1E62C1C-8029-4733-A282-13D1C085D4B4}"/>
                </a:ext>
              </a:extLst>
            </xdr:cNvPr>
            <xdr:cNvSpPr txBox="1"/>
          </xdr:nvSpPr>
          <xdr:spPr>
            <a:xfrm>
              <a:off x="4871538" y="66933446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"B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"2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"−" </a:t>
              </a:r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17</xdr:col>
      <xdr:colOff>266156</xdr:colOff>
      <xdr:row>360</xdr:row>
      <xdr:rowOff>31114</xdr:rowOff>
    </xdr:from>
    <xdr:ext cx="502920" cy="357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0" name="CuadroTexto 299">
              <a:extLst>
                <a:ext uri="{FF2B5EF4-FFF2-40B4-BE49-F238E27FC236}">
                  <a16:creationId xmlns:a16="http://schemas.microsoft.com/office/drawing/2014/main" id="{332A030F-3B12-41DD-9DCA-2831AEFF1E23}"/>
                </a:ext>
              </a:extLst>
            </xdr:cNvPr>
            <xdr:cNvSpPr txBox="1"/>
          </xdr:nvSpPr>
          <xdr:spPr>
            <a:xfrm>
              <a:off x="5856424" y="66932900"/>
              <a:ext cx="502920" cy="357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es-ES_tradnl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e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max</m:t>
                      </m:r>
                    </m:sub>
                  </m:sSub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B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3</m:t>
                      </m:r>
                    </m:den>
                  </m:f>
                </m:oMath>
              </a14:m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300" name="CuadroTexto 299">
              <a:extLst>
                <a:ext uri="{FF2B5EF4-FFF2-40B4-BE49-F238E27FC236}">
                  <a16:creationId xmlns:a16="http://schemas.microsoft.com/office/drawing/2014/main" id="{332A030F-3B12-41DD-9DCA-2831AEFF1E23}"/>
                </a:ext>
              </a:extLst>
            </xdr:cNvPr>
            <xdr:cNvSpPr txBox="1"/>
          </xdr:nvSpPr>
          <xdr:spPr>
            <a:xfrm>
              <a:off x="5856424" y="66932900"/>
              <a:ext cx="502920" cy="357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 i="0">
                  <a:latin typeface="+mn-lt"/>
                </a:rPr>
                <a:t>"e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"max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"B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"3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twoCellAnchor>
    <xdr:from>
      <xdr:col>21</xdr:col>
      <xdr:colOff>56696</xdr:colOff>
      <xdr:row>281</xdr:row>
      <xdr:rowOff>204107</xdr:rowOff>
    </xdr:from>
    <xdr:to>
      <xdr:col>27</xdr:col>
      <xdr:colOff>45357</xdr:colOff>
      <xdr:row>284</xdr:row>
      <xdr:rowOff>56697</xdr:rowOff>
    </xdr:to>
    <xdr:sp macro="" textlink="">
      <xdr:nvSpPr>
        <xdr:cNvPr id="303" name="Flecha: a la derecha 302">
          <a:extLst>
            <a:ext uri="{FF2B5EF4-FFF2-40B4-BE49-F238E27FC236}">
              <a16:creationId xmlns:a16="http://schemas.microsoft.com/office/drawing/2014/main" id="{702D8C07-CCAE-4F61-894D-65C81F81DDB4}"/>
            </a:ext>
          </a:extLst>
        </xdr:cNvPr>
        <xdr:cNvSpPr/>
      </xdr:nvSpPr>
      <xdr:spPr>
        <a:xfrm>
          <a:off x="6962321" y="51820536"/>
          <a:ext cx="1961697" cy="476250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27</xdr:col>
      <xdr:colOff>206375</xdr:colOff>
      <xdr:row>277</xdr:row>
      <xdr:rowOff>97161</xdr:rowOff>
    </xdr:from>
    <xdr:to>
      <xdr:col>38</xdr:col>
      <xdr:colOff>7938</xdr:colOff>
      <xdr:row>295</xdr:row>
      <xdr:rowOff>114995</xdr:rowOff>
    </xdr:to>
    <xdr:pic>
      <xdr:nvPicPr>
        <xdr:cNvPr id="304" name="Imagen 303">
          <a:extLst>
            <a:ext uri="{FF2B5EF4-FFF2-40B4-BE49-F238E27FC236}">
              <a16:creationId xmlns:a16="http://schemas.microsoft.com/office/drawing/2014/main" id="{92073698-60C5-45AD-94B6-F6E5207003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4892" t="-1" b="-7544"/>
        <a:stretch/>
      </xdr:blipFill>
      <xdr:spPr>
        <a:xfrm>
          <a:off x="9453563" y="48023786"/>
          <a:ext cx="3460750" cy="3438897"/>
        </a:xfrm>
        <a:prstGeom prst="rect">
          <a:avLst/>
        </a:prstGeom>
        <a:ln w="28575">
          <a:solidFill>
            <a:srgbClr val="FFC000"/>
          </a:solidFill>
        </a:ln>
      </xdr:spPr>
    </xdr:pic>
    <xdr:clientData/>
  </xdr:twoCellAnchor>
  <xdr:twoCellAnchor editAs="oneCell">
    <xdr:from>
      <xdr:col>38</xdr:col>
      <xdr:colOff>150814</xdr:colOff>
      <xdr:row>277</xdr:row>
      <xdr:rowOff>92845</xdr:rowOff>
    </xdr:from>
    <xdr:to>
      <xdr:col>49</xdr:col>
      <xdr:colOff>99340</xdr:colOff>
      <xdr:row>292</xdr:row>
      <xdr:rowOff>95250</xdr:rowOff>
    </xdr:to>
    <xdr:pic>
      <xdr:nvPicPr>
        <xdr:cNvPr id="305" name="Imagen 304">
          <a:extLst>
            <a:ext uri="{FF2B5EF4-FFF2-40B4-BE49-F238E27FC236}">
              <a16:creationId xmlns:a16="http://schemas.microsoft.com/office/drawing/2014/main" id="{0EFB75CB-4A17-4D9F-AEAF-5F941A03FC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1841" r="1" b="-6146"/>
        <a:stretch/>
      </xdr:blipFill>
      <xdr:spPr>
        <a:xfrm>
          <a:off x="13057189" y="48019470"/>
          <a:ext cx="3353714" cy="2844030"/>
        </a:xfrm>
        <a:prstGeom prst="rect">
          <a:avLst/>
        </a:prstGeom>
        <a:ln w="28575">
          <a:solidFill>
            <a:srgbClr val="FFC000"/>
          </a:solidFill>
        </a:ln>
      </xdr:spPr>
    </xdr:pic>
    <xdr:clientData/>
  </xdr:twoCellAnchor>
  <xdr:twoCellAnchor editAs="oneCell">
    <xdr:from>
      <xdr:col>18</xdr:col>
      <xdr:colOff>40400</xdr:colOff>
      <xdr:row>82</xdr:row>
      <xdr:rowOff>29632</xdr:rowOff>
    </xdr:from>
    <xdr:to>
      <xdr:col>28</xdr:col>
      <xdr:colOff>66161</xdr:colOff>
      <xdr:row>95</xdr:row>
      <xdr:rowOff>102936</xdr:rowOff>
    </xdr:to>
    <xdr:pic>
      <xdr:nvPicPr>
        <xdr:cNvPr id="306" name="Imagen 305">
          <a:extLst>
            <a:ext uri="{FF2B5EF4-FFF2-40B4-BE49-F238E27FC236}">
              <a16:creationId xmlns:a16="http://schemas.microsoft.com/office/drawing/2014/main" id="{78F3F5DC-B312-4068-96B4-0AE08FB60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15775" y="13745632"/>
          <a:ext cx="3438886" cy="2049742"/>
        </a:xfrm>
        <a:prstGeom prst="rect">
          <a:avLst/>
        </a:prstGeom>
        <a:solidFill>
          <a:srgbClr val="FFFFFF">
            <a:shade val="85000"/>
          </a:srgbClr>
        </a:solidFill>
        <a:ln w="28575" cap="sq">
          <a:solidFill>
            <a:srgbClr val="FFC000"/>
          </a:solidFill>
          <a:prstDash val="solid"/>
          <a:miter lim="800000"/>
        </a:ln>
        <a:effectLst/>
      </xdr:spPr>
    </xdr:pic>
    <xdr:clientData/>
  </xdr:twoCellAnchor>
  <xdr:twoCellAnchor>
    <xdr:from>
      <xdr:col>15</xdr:col>
      <xdr:colOff>192641</xdr:colOff>
      <xdr:row>82</xdr:row>
      <xdr:rowOff>74915</xdr:rowOff>
    </xdr:from>
    <xdr:to>
      <xdr:col>17</xdr:col>
      <xdr:colOff>224748</xdr:colOff>
      <xdr:row>84</xdr:row>
      <xdr:rowOff>85617</xdr:rowOff>
    </xdr:to>
    <xdr:sp macro="" textlink="">
      <xdr:nvSpPr>
        <xdr:cNvPr id="307" name="Flecha: a la derecha 306">
          <a:extLst>
            <a:ext uri="{FF2B5EF4-FFF2-40B4-BE49-F238E27FC236}">
              <a16:creationId xmlns:a16="http://schemas.microsoft.com/office/drawing/2014/main" id="{E2A45714-832F-4360-84B9-31816FE5F87B}"/>
            </a:ext>
          </a:extLst>
        </xdr:cNvPr>
        <xdr:cNvSpPr/>
      </xdr:nvSpPr>
      <xdr:spPr>
        <a:xfrm>
          <a:off x="5169186" y="14961741"/>
          <a:ext cx="695646" cy="321067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219075</xdr:colOff>
      <xdr:row>368</xdr:row>
      <xdr:rowOff>133350</xdr:rowOff>
    </xdr:from>
    <xdr:to>
      <xdr:col>10</xdr:col>
      <xdr:colOff>228600</xdr:colOff>
      <xdr:row>379</xdr:row>
      <xdr:rowOff>171450</xdr:rowOff>
    </xdr:to>
    <xdr:cxnSp macro="">
      <xdr:nvCxnSpPr>
        <xdr:cNvPr id="308" name="Conector recto 307">
          <a:extLst>
            <a:ext uri="{FF2B5EF4-FFF2-40B4-BE49-F238E27FC236}">
              <a16:creationId xmlns:a16="http://schemas.microsoft.com/office/drawing/2014/main" id="{8598C3A5-B7BC-4DE8-8755-C184E0A68E46}"/>
            </a:ext>
          </a:extLst>
        </xdr:cNvPr>
        <xdr:cNvCxnSpPr/>
      </xdr:nvCxnSpPr>
      <xdr:spPr>
        <a:xfrm>
          <a:off x="6522699" y="64164895"/>
          <a:ext cx="9525" cy="216784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379</xdr:row>
      <xdr:rowOff>161925</xdr:rowOff>
    </xdr:from>
    <xdr:to>
      <xdr:col>12</xdr:col>
      <xdr:colOff>0</xdr:colOff>
      <xdr:row>379</xdr:row>
      <xdr:rowOff>170447</xdr:rowOff>
    </xdr:to>
    <xdr:cxnSp macro="">
      <xdr:nvCxnSpPr>
        <xdr:cNvPr id="309" name="Conector recto 308">
          <a:extLst>
            <a:ext uri="{FF2B5EF4-FFF2-40B4-BE49-F238E27FC236}">
              <a16:creationId xmlns:a16="http://schemas.microsoft.com/office/drawing/2014/main" id="{FAA78939-E70C-48BD-A8B1-E8615BE4467E}"/>
            </a:ext>
          </a:extLst>
        </xdr:cNvPr>
        <xdr:cNvCxnSpPr/>
      </xdr:nvCxnSpPr>
      <xdr:spPr>
        <a:xfrm>
          <a:off x="6522699" y="66323217"/>
          <a:ext cx="444464" cy="852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296271</xdr:colOff>
      <xdr:row>379</xdr:row>
      <xdr:rowOff>172708</xdr:rowOff>
    </xdr:from>
    <xdr:to>
      <xdr:col>11</xdr:col>
      <xdr:colOff>302979</xdr:colOff>
      <xdr:row>381</xdr:row>
      <xdr:rowOff>112338</xdr:rowOff>
    </xdr:to>
    <xdr:cxnSp macro="">
      <xdr:nvCxnSpPr>
        <xdr:cNvPr id="310" name="Conector recto 309">
          <a:extLst>
            <a:ext uri="{FF2B5EF4-FFF2-40B4-BE49-F238E27FC236}">
              <a16:creationId xmlns:a16="http://schemas.microsoft.com/office/drawing/2014/main" id="{F874D8D3-C3E0-4378-8BA9-087389AEEF8E}"/>
            </a:ext>
          </a:extLst>
        </xdr:cNvPr>
        <xdr:cNvCxnSpPr/>
      </xdr:nvCxnSpPr>
      <xdr:spPr>
        <a:xfrm flipH="1">
          <a:off x="6931664" y="66334000"/>
          <a:ext cx="6708" cy="32491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255671</xdr:colOff>
      <xdr:row>381</xdr:row>
      <xdr:rowOff>105276</xdr:rowOff>
    </xdr:from>
    <xdr:to>
      <xdr:col>11</xdr:col>
      <xdr:colOff>295777</xdr:colOff>
      <xdr:row>381</xdr:row>
      <xdr:rowOff>110289</xdr:rowOff>
    </xdr:to>
    <xdr:cxnSp macro="">
      <xdr:nvCxnSpPr>
        <xdr:cNvPr id="311" name="Conector recto 310">
          <a:extLst>
            <a:ext uri="{FF2B5EF4-FFF2-40B4-BE49-F238E27FC236}">
              <a16:creationId xmlns:a16="http://schemas.microsoft.com/office/drawing/2014/main" id="{5EBB12C2-42F1-41A0-99BC-DB6892D92A0D}"/>
            </a:ext>
          </a:extLst>
        </xdr:cNvPr>
        <xdr:cNvCxnSpPr/>
      </xdr:nvCxnSpPr>
      <xdr:spPr>
        <a:xfrm flipV="1">
          <a:off x="4900446" y="66651849"/>
          <a:ext cx="2030724" cy="501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260926</xdr:colOff>
      <xdr:row>379</xdr:row>
      <xdr:rowOff>177537</xdr:rowOff>
    </xdr:from>
    <xdr:to>
      <xdr:col>5</xdr:col>
      <xdr:colOff>267634</xdr:colOff>
      <xdr:row>381</xdr:row>
      <xdr:rowOff>117167</xdr:rowOff>
    </xdr:to>
    <xdr:cxnSp macro="">
      <xdr:nvCxnSpPr>
        <xdr:cNvPr id="312" name="Conector recto 311">
          <a:extLst>
            <a:ext uri="{FF2B5EF4-FFF2-40B4-BE49-F238E27FC236}">
              <a16:creationId xmlns:a16="http://schemas.microsoft.com/office/drawing/2014/main" id="{D7673EE4-14B0-4172-B82A-BBAFD288A7B8}"/>
            </a:ext>
          </a:extLst>
        </xdr:cNvPr>
        <xdr:cNvCxnSpPr/>
      </xdr:nvCxnSpPr>
      <xdr:spPr>
        <a:xfrm flipH="1">
          <a:off x="4905701" y="66338829"/>
          <a:ext cx="6708" cy="32491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260685</xdr:colOff>
      <xdr:row>379</xdr:row>
      <xdr:rowOff>175460</xdr:rowOff>
    </xdr:from>
    <xdr:to>
      <xdr:col>6</xdr:col>
      <xdr:colOff>310815</xdr:colOff>
      <xdr:row>379</xdr:row>
      <xdr:rowOff>175460</xdr:rowOff>
    </xdr:to>
    <xdr:cxnSp macro="">
      <xdr:nvCxnSpPr>
        <xdr:cNvPr id="313" name="Conector recto 312">
          <a:extLst>
            <a:ext uri="{FF2B5EF4-FFF2-40B4-BE49-F238E27FC236}">
              <a16:creationId xmlns:a16="http://schemas.microsoft.com/office/drawing/2014/main" id="{8D82F820-6C63-4F2F-927A-29CE983C23A0}"/>
            </a:ext>
          </a:extLst>
        </xdr:cNvPr>
        <xdr:cNvCxnSpPr/>
      </xdr:nvCxnSpPr>
      <xdr:spPr>
        <a:xfrm>
          <a:off x="4905460" y="66336752"/>
          <a:ext cx="3819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315264</xdr:colOff>
      <xdr:row>370</xdr:row>
      <xdr:rowOff>114032</xdr:rowOff>
    </xdr:from>
    <xdr:to>
      <xdr:col>9</xdr:col>
      <xdr:colOff>73785</xdr:colOff>
      <xdr:row>379</xdr:row>
      <xdr:rowOff>181109</xdr:rowOff>
    </xdr:to>
    <xdr:cxnSp macro="">
      <xdr:nvCxnSpPr>
        <xdr:cNvPr id="314" name="Conector recto 313">
          <a:extLst>
            <a:ext uri="{FF2B5EF4-FFF2-40B4-BE49-F238E27FC236}">
              <a16:creationId xmlns:a16="http://schemas.microsoft.com/office/drawing/2014/main" id="{DFCC23C0-F426-478A-A8A0-54E49C9A9250}"/>
            </a:ext>
          </a:extLst>
        </xdr:cNvPr>
        <xdr:cNvCxnSpPr/>
      </xdr:nvCxnSpPr>
      <xdr:spPr>
        <a:xfrm flipV="1">
          <a:off x="5291809" y="64530858"/>
          <a:ext cx="753830" cy="181154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288433</xdr:colOff>
      <xdr:row>368</xdr:row>
      <xdr:rowOff>134155</xdr:rowOff>
    </xdr:from>
    <xdr:to>
      <xdr:col>10</xdr:col>
      <xdr:colOff>221355</xdr:colOff>
      <xdr:row>368</xdr:row>
      <xdr:rowOff>140863</xdr:rowOff>
    </xdr:to>
    <xdr:cxnSp macro="">
      <xdr:nvCxnSpPr>
        <xdr:cNvPr id="315" name="Conector recto 314">
          <a:extLst>
            <a:ext uri="{FF2B5EF4-FFF2-40B4-BE49-F238E27FC236}">
              <a16:creationId xmlns:a16="http://schemas.microsoft.com/office/drawing/2014/main" id="{58866747-753E-42D7-9F1A-FFBC33F1A7EF}"/>
            </a:ext>
          </a:extLst>
        </xdr:cNvPr>
        <xdr:cNvCxnSpPr/>
      </xdr:nvCxnSpPr>
      <xdr:spPr>
        <a:xfrm flipV="1">
          <a:off x="6260287" y="64165700"/>
          <a:ext cx="264692" cy="670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73785</xdr:colOff>
      <xdr:row>370</xdr:row>
      <xdr:rowOff>120739</xdr:rowOff>
    </xdr:from>
    <xdr:to>
      <xdr:col>9</xdr:col>
      <xdr:colOff>281725</xdr:colOff>
      <xdr:row>370</xdr:row>
      <xdr:rowOff>120739</xdr:rowOff>
    </xdr:to>
    <xdr:cxnSp macro="">
      <xdr:nvCxnSpPr>
        <xdr:cNvPr id="316" name="Conector recto 315">
          <a:extLst>
            <a:ext uri="{FF2B5EF4-FFF2-40B4-BE49-F238E27FC236}">
              <a16:creationId xmlns:a16="http://schemas.microsoft.com/office/drawing/2014/main" id="{A04A0802-C5E4-4F41-A784-3A397867A1F6}"/>
            </a:ext>
          </a:extLst>
        </xdr:cNvPr>
        <xdr:cNvCxnSpPr/>
      </xdr:nvCxnSpPr>
      <xdr:spPr>
        <a:xfrm>
          <a:off x="6045639" y="64537565"/>
          <a:ext cx="20794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275018</xdr:colOff>
      <xdr:row>368</xdr:row>
      <xdr:rowOff>134155</xdr:rowOff>
    </xdr:from>
    <xdr:to>
      <xdr:col>9</xdr:col>
      <xdr:colOff>281725</xdr:colOff>
      <xdr:row>370</xdr:row>
      <xdr:rowOff>120739</xdr:rowOff>
    </xdr:to>
    <xdr:cxnSp macro="">
      <xdr:nvCxnSpPr>
        <xdr:cNvPr id="317" name="Conector recto 316">
          <a:extLst>
            <a:ext uri="{FF2B5EF4-FFF2-40B4-BE49-F238E27FC236}">
              <a16:creationId xmlns:a16="http://schemas.microsoft.com/office/drawing/2014/main" id="{7FB1FA7B-9C4B-4B98-8B1F-03AAAD4E866A}"/>
            </a:ext>
          </a:extLst>
        </xdr:cNvPr>
        <xdr:cNvCxnSpPr/>
      </xdr:nvCxnSpPr>
      <xdr:spPr>
        <a:xfrm flipH="1">
          <a:off x="6246872" y="64165700"/>
          <a:ext cx="6707" cy="37186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235032</xdr:colOff>
      <xdr:row>381</xdr:row>
      <xdr:rowOff>68036</xdr:rowOff>
    </xdr:from>
    <xdr:to>
      <xdr:col>5</xdr:col>
      <xdr:colOff>309253</xdr:colOff>
      <xdr:row>381</xdr:row>
      <xdr:rowOff>136072</xdr:rowOff>
    </xdr:to>
    <xdr:sp macro="" textlink="">
      <xdr:nvSpPr>
        <xdr:cNvPr id="319" name="Elipse 318">
          <a:extLst>
            <a:ext uri="{FF2B5EF4-FFF2-40B4-BE49-F238E27FC236}">
              <a16:creationId xmlns:a16="http://schemas.microsoft.com/office/drawing/2014/main" id="{DA0DECD7-1610-4918-A2D1-082D47B04F2C}"/>
            </a:ext>
          </a:extLst>
        </xdr:cNvPr>
        <xdr:cNvSpPr/>
      </xdr:nvSpPr>
      <xdr:spPr>
        <a:xfrm>
          <a:off x="4879807" y="66614609"/>
          <a:ext cx="74221" cy="6803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61851</xdr:colOff>
      <xdr:row>381</xdr:row>
      <xdr:rowOff>43296</xdr:rowOff>
    </xdr:from>
    <xdr:to>
      <xdr:col>5</xdr:col>
      <xdr:colOff>253588</xdr:colOff>
      <xdr:row>382</xdr:row>
      <xdr:rowOff>68036</xdr:rowOff>
    </xdr:to>
    <xdr:sp macro="" textlink="">
      <xdr:nvSpPr>
        <xdr:cNvPr id="320" name="CuadroTexto 319">
          <a:extLst>
            <a:ext uri="{FF2B5EF4-FFF2-40B4-BE49-F238E27FC236}">
              <a16:creationId xmlns:a16="http://schemas.microsoft.com/office/drawing/2014/main" id="{6C36DF60-FACB-4B8A-B35F-995AA737EC67}"/>
            </a:ext>
          </a:extLst>
        </xdr:cNvPr>
        <xdr:cNvSpPr txBox="1"/>
      </xdr:nvSpPr>
      <xdr:spPr>
        <a:xfrm>
          <a:off x="4706626" y="66589869"/>
          <a:ext cx="191737" cy="217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8</xdr:col>
      <xdr:colOff>100263</xdr:colOff>
      <xdr:row>377</xdr:row>
      <xdr:rowOff>30079</xdr:rowOff>
    </xdr:from>
    <xdr:to>
      <xdr:col>8</xdr:col>
      <xdr:colOff>100263</xdr:colOff>
      <xdr:row>381</xdr:row>
      <xdr:rowOff>49050</xdr:rowOff>
    </xdr:to>
    <xdr:cxnSp macro="">
      <xdr:nvCxnSpPr>
        <xdr:cNvPr id="323" name="Conector recto de flecha 322">
          <a:extLst>
            <a:ext uri="{FF2B5EF4-FFF2-40B4-BE49-F238E27FC236}">
              <a16:creationId xmlns:a16="http://schemas.microsoft.com/office/drawing/2014/main" id="{428FC974-F284-413B-A162-EE424178187E}"/>
            </a:ext>
          </a:extLst>
        </xdr:cNvPr>
        <xdr:cNvCxnSpPr/>
      </xdr:nvCxnSpPr>
      <xdr:spPr>
        <a:xfrm>
          <a:off x="5740347" y="65806090"/>
          <a:ext cx="0" cy="789533"/>
        </a:xfrm>
        <a:prstGeom prst="straightConnector1">
          <a:avLst/>
        </a:prstGeom>
        <a:ln w="38100">
          <a:solidFill>
            <a:srgbClr val="0432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374</xdr:row>
      <xdr:rowOff>181939</xdr:rowOff>
    </xdr:from>
    <xdr:to>
      <xdr:col>13</xdr:col>
      <xdr:colOff>139129</xdr:colOff>
      <xdr:row>375</xdr:row>
      <xdr:rowOff>0</xdr:rowOff>
    </xdr:to>
    <xdr:cxnSp macro="">
      <xdr:nvCxnSpPr>
        <xdr:cNvPr id="329" name="Conector recto de flecha 328">
          <a:extLst>
            <a:ext uri="{FF2B5EF4-FFF2-40B4-BE49-F238E27FC236}">
              <a16:creationId xmlns:a16="http://schemas.microsoft.com/office/drawing/2014/main" id="{1B4E63B6-5489-46A7-89D7-38ABAD05F05D}"/>
            </a:ext>
          </a:extLst>
        </xdr:cNvPr>
        <xdr:cNvCxnSpPr/>
      </xdr:nvCxnSpPr>
      <xdr:spPr>
        <a:xfrm flipH="1" flipV="1">
          <a:off x="3649466" y="70035506"/>
          <a:ext cx="802669" cy="10702"/>
        </a:xfrm>
        <a:prstGeom prst="straightConnector1">
          <a:avLst/>
        </a:prstGeom>
        <a:ln w="38100">
          <a:solidFill>
            <a:srgbClr val="0432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163102</xdr:colOff>
      <xdr:row>382</xdr:row>
      <xdr:rowOff>10701</xdr:rowOff>
    </xdr:from>
    <xdr:to>
      <xdr:col>9</xdr:col>
      <xdr:colOff>224747</xdr:colOff>
      <xdr:row>382</xdr:row>
      <xdr:rowOff>13270</xdr:rowOff>
    </xdr:to>
    <xdr:cxnSp macro="">
      <xdr:nvCxnSpPr>
        <xdr:cNvPr id="330" name="Conector recto de flecha 329">
          <a:extLst>
            <a:ext uri="{FF2B5EF4-FFF2-40B4-BE49-F238E27FC236}">
              <a16:creationId xmlns:a16="http://schemas.microsoft.com/office/drawing/2014/main" id="{FAF69CB4-28BC-4659-B59D-AE0B96E7CDE7}"/>
            </a:ext>
          </a:extLst>
        </xdr:cNvPr>
        <xdr:cNvCxnSpPr/>
      </xdr:nvCxnSpPr>
      <xdr:spPr>
        <a:xfrm flipV="1">
          <a:off x="2485490" y="71437499"/>
          <a:ext cx="725184" cy="2569"/>
        </a:xfrm>
        <a:prstGeom prst="straightConnector1">
          <a:avLst/>
        </a:prstGeom>
        <a:ln w="38100">
          <a:solidFill>
            <a:srgbClr val="0432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198560</xdr:colOff>
      <xdr:row>369</xdr:row>
      <xdr:rowOff>134619</xdr:rowOff>
    </xdr:from>
    <xdr:to>
      <xdr:col>29</xdr:col>
      <xdr:colOff>218888</xdr:colOff>
      <xdr:row>397</xdr:row>
      <xdr:rowOff>66947</xdr:rowOff>
    </xdr:to>
    <xdr:pic>
      <xdr:nvPicPr>
        <xdr:cNvPr id="332" name="Imagen 331">
          <a:extLst>
            <a:ext uri="{FF2B5EF4-FFF2-40B4-BE49-F238E27FC236}">
              <a16:creationId xmlns:a16="http://schemas.microsoft.com/office/drawing/2014/main" id="{1F56B5BD-4C43-4109-9B2E-64DCDB387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32560" y="68276469"/>
          <a:ext cx="4354203" cy="5361579"/>
        </a:xfrm>
        <a:prstGeom prst="rect">
          <a:avLst/>
        </a:prstGeom>
        <a:ln w="28575">
          <a:solidFill>
            <a:srgbClr val="FFC000"/>
          </a:solidFill>
          <a:prstDash val="solid"/>
        </a:ln>
      </xdr:spPr>
    </xdr:pic>
    <xdr:clientData/>
  </xdr:twoCellAnchor>
  <xdr:twoCellAnchor>
    <xdr:from>
      <xdr:col>11</xdr:col>
      <xdr:colOff>125802</xdr:colOff>
      <xdr:row>385</xdr:row>
      <xdr:rowOff>0</xdr:rowOff>
    </xdr:from>
    <xdr:to>
      <xdr:col>15</xdr:col>
      <xdr:colOff>251604</xdr:colOff>
      <xdr:row>387</xdr:row>
      <xdr:rowOff>0</xdr:rowOff>
    </xdr:to>
    <xdr:sp macro="" textlink="">
      <xdr:nvSpPr>
        <xdr:cNvPr id="333" name="Flecha: a la derecha 332">
          <a:extLst>
            <a:ext uri="{FF2B5EF4-FFF2-40B4-BE49-F238E27FC236}">
              <a16:creationId xmlns:a16="http://schemas.microsoft.com/office/drawing/2014/main" id="{88CB3091-FD3D-4A98-8D89-BCF2A0680DCB}"/>
            </a:ext>
          </a:extLst>
        </xdr:cNvPr>
        <xdr:cNvSpPr/>
      </xdr:nvSpPr>
      <xdr:spPr>
        <a:xfrm>
          <a:off x="3911990" y="67952938"/>
          <a:ext cx="1491052" cy="365125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321192</xdr:colOff>
      <xdr:row>381</xdr:row>
      <xdr:rowOff>155059</xdr:rowOff>
    </xdr:from>
    <xdr:to>
      <xdr:col>29</xdr:col>
      <xdr:colOff>110756</xdr:colOff>
      <xdr:row>382</xdr:row>
      <xdr:rowOff>99680</xdr:rowOff>
    </xdr:to>
    <xdr:sp macro="" textlink="">
      <xdr:nvSpPr>
        <xdr:cNvPr id="334" name="Rectángulo 333">
          <a:extLst>
            <a:ext uri="{FF2B5EF4-FFF2-40B4-BE49-F238E27FC236}">
              <a16:creationId xmlns:a16="http://schemas.microsoft.com/office/drawing/2014/main" id="{C867C243-42C2-4881-9FFE-F93826736B7D}"/>
            </a:ext>
          </a:extLst>
        </xdr:cNvPr>
        <xdr:cNvSpPr/>
      </xdr:nvSpPr>
      <xdr:spPr>
        <a:xfrm>
          <a:off x="5637471" y="69942297"/>
          <a:ext cx="4109041" cy="13290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7</xdr:col>
      <xdr:colOff>161925</xdr:colOff>
      <xdr:row>389</xdr:row>
      <xdr:rowOff>9525</xdr:rowOff>
    </xdr:from>
    <xdr:ext cx="663643" cy="1463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8" name="CuadroTexto 337">
              <a:extLst>
                <a:ext uri="{FF2B5EF4-FFF2-40B4-BE49-F238E27FC236}">
                  <a16:creationId xmlns:a16="http://schemas.microsoft.com/office/drawing/2014/main" id="{D34C8C48-B073-400B-93FA-653F9478C598}"/>
                </a:ext>
              </a:extLst>
            </xdr:cNvPr>
            <xdr:cNvSpPr txBox="1"/>
          </xdr:nvSpPr>
          <xdr:spPr>
            <a:xfrm>
              <a:off x="2495550" y="72047100"/>
              <a:ext cx="663643" cy="1463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_tradnl" sz="9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</a:rPr>
                          <m:t>F</m:t>
                        </m:r>
                      </m:e>
                      <m:sub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</a:rPr>
                          <m:t>f</m:t>
                        </m:r>
                      </m:sub>
                    </m:sSub>
                    <m:r>
                      <m:rPr>
                        <m:nor/>
                      </m:rPr>
                      <a:rPr lang="es-ES" sz="900" b="1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l-GR" sz="900" b="1" i="0">
                        <a:latin typeface="+mn-lt"/>
                        <a:ea typeface="Cambria Math" panose="02040503050406030204" pitchFamily="18" charset="0"/>
                      </a:rPr>
                      <m:t>μ</m:t>
                    </m:r>
                    <m:r>
                      <m:rPr>
                        <m:nor/>
                      </m:rPr>
                      <a:rPr lang="es-ES" sz="900" b="1" i="0">
                        <a:latin typeface="+mn-lt"/>
                        <a:ea typeface="Cambria Math" panose="02040503050406030204" pitchFamily="18" charset="0"/>
                      </a:rPr>
                      <m:t> (</m:t>
                    </m:r>
                    <m:sSub>
                      <m:sSubPr>
                        <m:ctrlPr>
                          <a:rPr lang="es-ES" sz="9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∅</m:t>
                        </m:r>
                      </m:e>
                      <m:sub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T</m:t>
                        </m:r>
                      </m:sub>
                    </m:sSub>
                    <m:r>
                      <m:rPr>
                        <m:nor/>
                      </m:rPr>
                      <a:rPr lang="es-ES" sz="900" b="1" i="0">
                        <a:latin typeface="+mn-lt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s-ES" sz="9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u</m:t>
                        </m:r>
                      </m:sub>
                    </m:sSub>
                    <m:r>
                      <m:rPr>
                        <m:nor/>
                      </m:rPr>
                      <a:rPr lang="es-ES" sz="900" b="1" i="0">
                        <a:latin typeface="+mn-lt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s-ES_tradnl" sz="900" b="1">
                <a:latin typeface="+mn-lt"/>
              </a:endParaRPr>
            </a:p>
          </xdr:txBody>
        </xdr:sp>
      </mc:Choice>
      <mc:Fallback xmlns="">
        <xdr:sp macro="" textlink="">
          <xdr:nvSpPr>
            <xdr:cNvPr id="338" name="CuadroTexto 337">
              <a:extLst>
                <a:ext uri="{FF2B5EF4-FFF2-40B4-BE49-F238E27FC236}">
                  <a16:creationId xmlns:a16="http://schemas.microsoft.com/office/drawing/2014/main" id="{D34C8C48-B073-400B-93FA-653F9478C598}"/>
                </a:ext>
              </a:extLst>
            </xdr:cNvPr>
            <xdr:cNvSpPr txBox="1"/>
          </xdr:nvSpPr>
          <xdr:spPr>
            <a:xfrm>
              <a:off x="2495550" y="72047100"/>
              <a:ext cx="663643" cy="1463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900" b="1" i="0">
                  <a:latin typeface="+mn-lt"/>
                </a:rPr>
                <a:t>"F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"f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</a:t>
              </a:r>
              <a:r>
                <a:rPr lang="el-GR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μ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 ("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"∅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"T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"∗"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"V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"u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")</a:t>
              </a:r>
              <a:r>
                <a:rPr lang="es-PE" sz="900" b="1" i="0">
                  <a:latin typeface="+mn-lt"/>
                  <a:ea typeface="Cambria Math" panose="02040503050406030204" pitchFamily="18" charset="0"/>
                </a:rPr>
                <a:t>"</a:t>
              </a:r>
              <a:endParaRPr lang="es-ES_tradnl" sz="900" b="1">
                <a:latin typeface="+mn-lt"/>
              </a:endParaRPr>
            </a:p>
          </xdr:txBody>
        </xdr:sp>
      </mc:Fallback>
    </mc:AlternateContent>
    <xdr:clientData/>
  </xdr:oneCellAnchor>
  <xdr:twoCellAnchor>
    <xdr:from>
      <xdr:col>8</xdr:col>
      <xdr:colOff>219075</xdr:colOff>
      <xdr:row>398</xdr:row>
      <xdr:rowOff>133350</xdr:rowOff>
    </xdr:from>
    <xdr:to>
      <xdr:col>8</xdr:col>
      <xdr:colOff>228600</xdr:colOff>
      <xdr:row>409</xdr:row>
      <xdr:rowOff>171450</xdr:rowOff>
    </xdr:to>
    <xdr:cxnSp macro="">
      <xdr:nvCxnSpPr>
        <xdr:cNvPr id="411" name="Conector recto 410">
          <a:extLst>
            <a:ext uri="{FF2B5EF4-FFF2-40B4-BE49-F238E27FC236}">
              <a16:creationId xmlns:a16="http://schemas.microsoft.com/office/drawing/2014/main" id="{92510FFC-7C59-410D-89A9-E2D8DE9DABFF}"/>
            </a:ext>
          </a:extLst>
        </xdr:cNvPr>
        <xdr:cNvCxnSpPr/>
      </xdr:nvCxnSpPr>
      <xdr:spPr>
        <a:xfrm>
          <a:off x="3219450" y="63465075"/>
          <a:ext cx="9525" cy="21431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219075</xdr:colOff>
      <xdr:row>409</xdr:row>
      <xdr:rowOff>161925</xdr:rowOff>
    </xdr:from>
    <xdr:to>
      <xdr:col>10</xdr:col>
      <xdr:colOff>0</xdr:colOff>
      <xdr:row>409</xdr:row>
      <xdr:rowOff>170447</xdr:rowOff>
    </xdr:to>
    <xdr:cxnSp macro="">
      <xdr:nvCxnSpPr>
        <xdr:cNvPr id="412" name="Conector recto 411">
          <a:extLst>
            <a:ext uri="{FF2B5EF4-FFF2-40B4-BE49-F238E27FC236}">
              <a16:creationId xmlns:a16="http://schemas.microsoft.com/office/drawing/2014/main" id="{89E23145-D1D0-4FCC-98CD-2DFE2762A4A4}"/>
            </a:ext>
          </a:extLst>
        </xdr:cNvPr>
        <xdr:cNvCxnSpPr/>
      </xdr:nvCxnSpPr>
      <xdr:spPr>
        <a:xfrm>
          <a:off x="3219450" y="65598675"/>
          <a:ext cx="447675" cy="852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296271</xdr:colOff>
      <xdr:row>409</xdr:row>
      <xdr:rowOff>172708</xdr:rowOff>
    </xdr:from>
    <xdr:to>
      <xdr:col>9</xdr:col>
      <xdr:colOff>302979</xdr:colOff>
      <xdr:row>411</xdr:row>
      <xdr:rowOff>112338</xdr:rowOff>
    </xdr:to>
    <xdr:cxnSp macro="">
      <xdr:nvCxnSpPr>
        <xdr:cNvPr id="413" name="Conector recto 412">
          <a:extLst>
            <a:ext uri="{FF2B5EF4-FFF2-40B4-BE49-F238E27FC236}">
              <a16:creationId xmlns:a16="http://schemas.microsoft.com/office/drawing/2014/main" id="{E3B2BB2B-62FE-442B-9790-D93C6A95B4E1}"/>
            </a:ext>
          </a:extLst>
        </xdr:cNvPr>
        <xdr:cNvCxnSpPr/>
      </xdr:nvCxnSpPr>
      <xdr:spPr>
        <a:xfrm flipH="1">
          <a:off x="3630021" y="65609458"/>
          <a:ext cx="6708" cy="3206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255671</xdr:colOff>
      <xdr:row>411</xdr:row>
      <xdr:rowOff>105276</xdr:rowOff>
    </xdr:from>
    <xdr:to>
      <xdr:col>9</xdr:col>
      <xdr:colOff>295777</xdr:colOff>
      <xdr:row>411</xdr:row>
      <xdr:rowOff>110289</xdr:rowOff>
    </xdr:to>
    <xdr:cxnSp macro="">
      <xdr:nvCxnSpPr>
        <xdr:cNvPr id="414" name="Conector recto 413">
          <a:extLst>
            <a:ext uri="{FF2B5EF4-FFF2-40B4-BE49-F238E27FC236}">
              <a16:creationId xmlns:a16="http://schemas.microsoft.com/office/drawing/2014/main" id="{0FB60D30-28F9-40D1-8487-C35CFDC89264}"/>
            </a:ext>
          </a:extLst>
        </xdr:cNvPr>
        <xdr:cNvCxnSpPr/>
      </xdr:nvCxnSpPr>
      <xdr:spPr>
        <a:xfrm flipV="1">
          <a:off x="1589171" y="65923026"/>
          <a:ext cx="2040356" cy="501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260926</xdr:colOff>
      <xdr:row>409</xdr:row>
      <xdr:rowOff>177537</xdr:rowOff>
    </xdr:from>
    <xdr:to>
      <xdr:col>3</xdr:col>
      <xdr:colOff>267634</xdr:colOff>
      <xdr:row>411</xdr:row>
      <xdr:rowOff>117167</xdr:rowOff>
    </xdr:to>
    <xdr:cxnSp macro="">
      <xdr:nvCxnSpPr>
        <xdr:cNvPr id="415" name="Conector recto 414">
          <a:extLst>
            <a:ext uri="{FF2B5EF4-FFF2-40B4-BE49-F238E27FC236}">
              <a16:creationId xmlns:a16="http://schemas.microsoft.com/office/drawing/2014/main" id="{689CC90D-2071-4BB4-B35E-233B76252213}"/>
            </a:ext>
          </a:extLst>
        </xdr:cNvPr>
        <xdr:cNvCxnSpPr/>
      </xdr:nvCxnSpPr>
      <xdr:spPr>
        <a:xfrm flipH="1">
          <a:off x="1594426" y="65614287"/>
          <a:ext cx="6708" cy="3206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260685</xdr:colOff>
      <xdr:row>409</xdr:row>
      <xdr:rowOff>175460</xdr:rowOff>
    </xdr:from>
    <xdr:to>
      <xdr:col>4</xdr:col>
      <xdr:colOff>310815</xdr:colOff>
      <xdr:row>409</xdr:row>
      <xdr:rowOff>175460</xdr:rowOff>
    </xdr:to>
    <xdr:cxnSp macro="">
      <xdr:nvCxnSpPr>
        <xdr:cNvPr id="416" name="Conector recto 415">
          <a:extLst>
            <a:ext uri="{FF2B5EF4-FFF2-40B4-BE49-F238E27FC236}">
              <a16:creationId xmlns:a16="http://schemas.microsoft.com/office/drawing/2014/main" id="{34D26349-132F-47E8-BE85-671C05FCDD49}"/>
            </a:ext>
          </a:extLst>
        </xdr:cNvPr>
        <xdr:cNvCxnSpPr/>
      </xdr:nvCxnSpPr>
      <xdr:spPr>
        <a:xfrm>
          <a:off x="1594185" y="65612210"/>
          <a:ext cx="38350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315264</xdr:colOff>
      <xdr:row>400</xdr:row>
      <xdr:rowOff>114032</xdr:rowOff>
    </xdr:from>
    <xdr:to>
      <xdr:col>7</xdr:col>
      <xdr:colOff>73785</xdr:colOff>
      <xdr:row>409</xdr:row>
      <xdr:rowOff>181109</xdr:rowOff>
    </xdr:to>
    <xdr:cxnSp macro="">
      <xdr:nvCxnSpPr>
        <xdr:cNvPr id="417" name="Conector recto 416">
          <a:extLst>
            <a:ext uri="{FF2B5EF4-FFF2-40B4-BE49-F238E27FC236}">
              <a16:creationId xmlns:a16="http://schemas.microsoft.com/office/drawing/2014/main" id="{D60D989C-78D0-4F73-8190-4899A8C9651C}"/>
            </a:ext>
          </a:extLst>
        </xdr:cNvPr>
        <xdr:cNvCxnSpPr/>
      </xdr:nvCxnSpPr>
      <xdr:spPr>
        <a:xfrm flipV="1">
          <a:off x="1982139" y="63826757"/>
          <a:ext cx="758646" cy="179110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288433</xdr:colOff>
      <xdr:row>398</xdr:row>
      <xdr:rowOff>134155</xdr:rowOff>
    </xdr:from>
    <xdr:to>
      <xdr:col>8</xdr:col>
      <xdr:colOff>221355</xdr:colOff>
      <xdr:row>398</xdr:row>
      <xdr:rowOff>140863</xdr:rowOff>
    </xdr:to>
    <xdr:cxnSp macro="">
      <xdr:nvCxnSpPr>
        <xdr:cNvPr id="418" name="Conector recto 417">
          <a:extLst>
            <a:ext uri="{FF2B5EF4-FFF2-40B4-BE49-F238E27FC236}">
              <a16:creationId xmlns:a16="http://schemas.microsoft.com/office/drawing/2014/main" id="{734BB890-3577-433E-B63D-8DE43D69086E}"/>
            </a:ext>
          </a:extLst>
        </xdr:cNvPr>
        <xdr:cNvCxnSpPr/>
      </xdr:nvCxnSpPr>
      <xdr:spPr>
        <a:xfrm flipV="1">
          <a:off x="2955433" y="63465880"/>
          <a:ext cx="266297" cy="670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73785</xdr:colOff>
      <xdr:row>400</xdr:row>
      <xdr:rowOff>120739</xdr:rowOff>
    </xdr:from>
    <xdr:to>
      <xdr:col>7</xdr:col>
      <xdr:colOff>281725</xdr:colOff>
      <xdr:row>400</xdr:row>
      <xdr:rowOff>120739</xdr:rowOff>
    </xdr:to>
    <xdr:cxnSp macro="">
      <xdr:nvCxnSpPr>
        <xdr:cNvPr id="419" name="Conector recto 418">
          <a:extLst>
            <a:ext uri="{FF2B5EF4-FFF2-40B4-BE49-F238E27FC236}">
              <a16:creationId xmlns:a16="http://schemas.microsoft.com/office/drawing/2014/main" id="{0CABDB34-3823-4044-8506-E545701C4771}"/>
            </a:ext>
          </a:extLst>
        </xdr:cNvPr>
        <xdr:cNvCxnSpPr/>
      </xdr:nvCxnSpPr>
      <xdr:spPr>
        <a:xfrm>
          <a:off x="2740785" y="63833464"/>
          <a:ext cx="20794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275018</xdr:colOff>
      <xdr:row>398</xdr:row>
      <xdr:rowOff>134155</xdr:rowOff>
    </xdr:from>
    <xdr:to>
      <xdr:col>7</xdr:col>
      <xdr:colOff>281725</xdr:colOff>
      <xdr:row>400</xdr:row>
      <xdr:rowOff>120739</xdr:rowOff>
    </xdr:to>
    <xdr:cxnSp macro="">
      <xdr:nvCxnSpPr>
        <xdr:cNvPr id="420" name="Conector recto 419">
          <a:extLst>
            <a:ext uri="{FF2B5EF4-FFF2-40B4-BE49-F238E27FC236}">
              <a16:creationId xmlns:a16="http://schemas.microsoft.com/office/drawing/2014/main" id="{3142F37B-CEE6-4301-B12A-5D5C6A9FE1DE}"/>
            </a:ext>
          </a:extLst>
        </xdr:cNvPr>
        <xdr:cNvCxnSpPr/>
      </xdr:nvCxnSpPr>
      <xdr:spPr>
        <a:xfrm flipH="1">
          <a:off x="2942018" y="63465880"/>
          <a:ext cx="6707" cy="36758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267890</xdr:colOff>
      <xdr:row>411</xdr:row>
      <xdr:rowOff>178593</xdr:rowOff>
    </xdr:from>
    <xdr:to>
      <xdr:col>10</xdr:col>
      <xdr:colOff>0</xdr:colOff>
      <xdr:row>412</xdr:row>
      <xdr:rowOff>0</xdr:rowOff>
    </xdr:to>
    <xdr:cxnSp macro="">
      <xdr:nvCxnSpPr>
        <xdr:cNvPr id="421" name="Conector recto de flecha 420">
          <a:extLst>
            <a:ext uri="{FF2B5EF4-FFF2-40B4-BE49-F238E27FC236}">
              <a16:creationId xmlns:a16="http://schemas.microsoft.com/office/drawing/2014/main" id="{6F141FEB-5FDB-44CD-AF4A-6ACB2AB998AC}"/>
            </a:ext>
          </a:extLst>
        </xdr:cNvPr>
        <xdr:cNvCxnSpPr/>
      </xdr:nvCxnSpPr>
      <xdr:spPr>
        <a:xfrm>
          <a:off x="1601390" y="65996343"/>
          <a:ext cx="2065735" cy="119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235032</xdr:colOff>
      <xdr:row>411</xdr:row>
      <xdr:rowOff>68036</xdr:rowOff>
    </xdr:from>
    <xdr:to>
      <xdr:col>3</xdr:col>
      <xdr:colOff>309253</xdr:colOff>
      <xdr:row>411</xdr:row>
      <xdr:rowOff>136072</xdr:rowOff>
    </xdr:to>
    <xdr:sp macro="" textlink="">
      <xdr:nvSpPr>
        <xdr:cNvPr id="422" name="Elipse 421">
          <a:extLst>
            <a:ext uri="{FF2B5EF4-FFF2-40B4-BE49-F238E27FC236}">
              <a16:creationId xmlns:a16="http://schemas.microsoft.com/office/drawing/2014/main" id="{6DA80F16-1C49-4A1C-BA5D-E999AD7E3477}"/>
            </a:ext>
          </a:extLst>
        </xdr:cNvPr>
        <xdr:cNvSpPr/>
      </xdr:nvSpPr>
      <xdr:spPr>
        <a:xfrm>
          <a:off x="1568532" y="65885786"/>
          <a:ext cx="74221" cy="6803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61851</xdr:colOff>
      <xdr:row>411</xdr:row>
      <xdr:rowOff>43296</xdr:rowOff>
    </xdr:from>
    <xdr:to>
      <xdr:col>3</xdr:col>
      <xdr:colOff>253588</xdr:colOff>
      <xdr:row>412</xdr:row>
      <xdr:rowOff>68036</xdr:rowOff>
    </xdr:to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69E0B1F4-76E8-4B19-880D-E218F09529C9}"/>
            </a:ext>
          </a:extLst>
        </xdr:cNvPr>
        <xdr:cNvSpPr txBox="1"/>
      </xdr:nvSpPr>
      <xdr:spPr>
        <a:xfrm>
          <a:off x="1395351" y="65861046"/>
          <a:ext cx="191737" cy="21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18</xdr:col>
      <xdr:colOff>219075</xdr:colOff>
      <xdr:row>398</xdr:row>
      <xdr:rowOff>133350</xdr:rowOff>
    </xdr:from>
    <xdr:to>
      <xdr:col>18</xdr:col>
      <xdr:colOff>228600</xdr:colOff>
      <xdr:row>409</xdr:row>
      <xdr:rowOff>171450</xdr:rowOff>
    </xdr:to>
    <xdr:cxnSp macro="">
      <xdr:nvCxnSpPr>
        <xdr:cNvPr id="424" name="Conector recto 423">
          <a:extLst>
            <a:ext uri="{FF2B5EF4-FFF2-40B4-BE49-F238E27FC236}">
              <a16:creationId xmlns:a16="http://schemas.microsoft.com/office/drawing/2014/main" id="{68788160-5D06-4AFE-8354-6CD3CD3F596F}"/>
            </a:ext>
          </a:extLst>
        </xdr:cNvPr>
        <xdr:cNvCxnSpPr/>
      </xdr:nvCxnSpPr>
      <xdr:spPr>
        <a:xfrm>
          <a:off x="6553200" y="63465075"/>
          <a:ext cx="9525" cy="21431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219075</xdr:colOff>
      <xdr:row>409</xdr:row>
      <xdr:rowOff>161925</xdr:rowOff>
    </xdr:from>
    <xdr:to>
      <xdr:col>20</xdr:col>
      <xdr:colOff>0</xdr:colOff>
      <xdr:row>409</xdr:row>
      <xdr:rowOff>170447</xdr:rowOff>
    </xdr:to>
    <xdr:cxnSp macro="">
      <xdr:nvCxnSpPr>
        <xdr:cNvPr id="425" name="Conector recto 424">
          <a:extLst>
            <a:ext uri="{FF2B5EF4-FFF2-40B4-BE49-F238E27FC236}">
              <a16:creationId xmlns:a16="http://schemas.microsoft.com/office/drawing/2014/main" id="{A98E0E1A-FEDD-49D8-A0DF-86E69C07587C}"/>
            </a:ext>
          </a:extLst>
        </xdr:cNvPr>
        <xdr:cNvCxnSpPr/>
      </xdr:nvCxnSpPr>
      <xdr:spPr>
        <a:xfrm>
          <a:off x="6553200" y="65598675"/>
          <a:ext cx="447675" cy="852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325429</xdr:colOff>
      <xdr:row>409</xdr:row>
      <xdr:rowOff>172708</xdr:rowOff>
    </xdr:from>
    <xdr:to>
      <xdr:col>20</xdr:col>
      <xdr:colOff>1677</xdr:colOff>
      <xdr:row>411</xdr:row>
      <xdr:rowOff>112338</xdr:rowOff>
    </xdr:to>
    <xdr:cxnSp macro="">
      <xdr:nvCxnSpPr>
        <xdr:cNvPr id="426" name="Conector recto 425">
          <a:extLst>
            <a:ext uri="{FF2B5EF4-FFF2-40B4-BE49-F238E27FC236}">
              <a16:creationId xmlns:a16="http://schemas.microsoft.com/office/drawing/2014/main" id="{7231E1C8-03F3-4549-8D3C-D0839A240B12}"/>
            </a:ext>
          </a:extLst>
        </xdr:cNvPr>
        <xdr:cNvCxnSpPr/>
      </xdr:nvCxnSpPr>
      <xdr:spPr>
        <a:xfrm flipH="1">
          <a:off x="6604153" y="77587631"/>
          <a:ext cx="6708" cy="32840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255671</xdr:colOff>
      <xdr:row>411</xdr:row>
      <xdr:rowOff>110289</xdr:rowOff>
    </xdr:from>
    <xdr:to>
      <xdr:col>19</xdr:col>
      <xdr:colOff>311021</xdr:colOff>
      <xdr:row>411</xdr:row>
      <xdr:rowOff>116633</xdr:rowOff>
    </xdr:to>
    <xdr:cxnSp macro="">
      <xdr:nvCxnSpPr>
        <xdr:cNvPr id="427" name="Conector recto 426">
          <a:extLst>
            <a:ext uri="{FF2B5EF4-FFF2-40B4-BE49-F238E27FC236}">
              <a16:creationId xmlns:a16="http://schemas.microsoft.com/office/drawing/2014/main" id="{03202B10-AE5C-4231-9FD6-5E40B8F44B25}"/>
            </a:ext>
          </a:extLst>
        </xdr:cNvPr>
        <xdr:cNvCxnSpPr/>
      </xdr:nvCxnSpPr>
      <xdr:spPr>
        <a:xfrm>
          <a:off x="4551640" y="77913988"/>
          <a:ext cx="2038105" cy="634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260926</xdr:colOff>
      <xdr:row>409</xdr:row>
      <xdr:rowOff>177537</xdr:rowOff>
    </xdr:from>
    <xdr:to>
      <xdr:col>13</xdr:col>
      <xdr:colOff>267634</xdr:colOff>
      <xdr:row>411</xdr:row>
      <xdr:rowOff>117167</xdr:rowOff>
    </xdr:to>
    <xdr:cxnSp macro="">
      <xdr:nvCxnSpPr>
        <xdr:cNvPr id="428" name="Conector recto 427">
          <a:extLst>
            <a:ext uri="{FF2B5EF4-FFF2-40B4-BE49-F238E27FC236}">
              <a16:creationId xmlns:a16="http://schemas.microsoft.com/office/drawing/2014/main" id="{C1AE97B8-A0DC-4F80-9417-1F0E9EA059DF}"/>
            </a:ext>
          </a:extLst>
        </xdr:cNvPr>
        <xdr:cNvCxnSpPr/>
      </xdr:nvCxnSpPr>
      <xdr:spPr>
        <a:xfrm flipH="1">
          <a:off x="4928176" y="65614287"/>
          <a:ext cx="6708" cy="3206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260685</xdr:colOff>
      <xdr:row>409</xdr:row>
      <xdr:rowOff>175460</xdr:rowOff>
    </xdr:from>
    <xdr:to>
      <xdr:col>14</xdr:col>
      <xdr:colOff>310815</xdr:colOff>
      <xdr:row>409</xdr:row>
      <xdr:rowOff>175460</xdr:rowOff>
    </xdr:to>
    <xdr:cxnSp macro="">
      <xdr:nvCxnSpPr>
        <xdr:cNvPr id="429" name="Conector recto 428">
          <a:extLst>
            <a:ext uri="{FF2B5EF4-FFF2-40B4-BE49-F238E27FC236}">
              <a16:creationId xmlns:a16="http://schemas.microsoft.com/office/drawing/2014/main" id="{25A0FAD0-7CC2-41C4-AE24-EB963160AF33}"/>
            </a:ext>
          </a:extLst>
        </xdr:cNvPr>
        <xdr:cNvCxnSpPr/>
      </xdr:nvCxnSpPr>
      <xdr:spPr>
        <a:xfrm>
          <a:off x="4927935" y="65612210"/>
          <a:ext cx="38350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315264</xdr:colOff>
      <xdr:row>400</xdr:row>
      <xdr:rowOff>114032</xdr:rowOff>
    </xdr:from>
    <xdr:to>
      <xdr:col>17</xdr:col>
      <xdr:colOff>73785</xdr:colOff>
      <xdr:row>409</xdr:row>
      <xdr:rowOff>181109</xdr:rowOff>
    </xdr:to>
    <xdr:cxnSp macro="">
      <xdr:nvCxnSpPr>
        <xdr:cNvPr id="430" name="Conector recto 429">
          <a:extLst>
            <a:ext uri="{FF2B5EF4-FFF2-40B4-BE49-F238E27FC236}">
              <a16:creationId xmlns:a16="http://schemas.microsoft.com/office/drawing/2014/main" id="{8FA3931C-EA0E-4865-9D50-599447C5282D}"/>
            </a:ext>
          </a:extLst>
        </xdr:cNvPr>
        <xdr:cNvCxnSpPr/>
      </xdr:nvCxnSpPr>
      <xdr:spPr>
        <a:xfrm flipV="1">
          <a:off x="5315889" y="63826757"/>
          <a:ext cx="758646" cy="179110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288433</xdr:colOff>
      <xdr:row>398</xdr:row>
      <xdr:rowOff>134155</xdr:rowOff>
    </xdr:from>
    <xdr:to>
      <xdr:col>18</xdr:col>
      <xdr:colOff>221355</xdr:colOff>
      <xdr:row>398</xdr:row>
      <xdr:rowOff>140863</xdr:rowOff>
    </xdr:to>
    <xdr:cxnSp macro="">
      <xdr:nvCxnSpPr>
        <xdr:cNvPr id="431" name="Conector recto 430">
          <a:extLst>
            <a:ext uri="{FF2B5EF4-FFF2-40B4-BE49-F238E27FC236}">
              <a16:creationId xmlns:a16="http://schemas.microsoft.com/office/drawing/2014/main" id="{E0E45A5E-7E2A-489F-9CB8-B06FAD09758E}"/>
            </a:ext>
          </a:extLst>
        </xdr:cNvPr>
        <xdr:cNvCxnSpPr/>
      </xdr:nvCxnSpPr>
      <xdr:spPr>
        <a:xfrm flipV="1">
          <a:off x="6289183" y="63465880"/>
          <a:ext cx="266297" cy="670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73785</xdr:colOff>
      <xdr:row>400</xdr:row>
      <xdr:rowOff>120739</xdr:rowOff>
    </xdr:from>
    <xdr:to>
      <xdr:col>17</xdr:col>
      <xdr:colOff>281725</xdr:colOff>
      <xdr:row>400</xdr:row>
      <xdr:rowOff>120739</xdr:rowOff>
    </xdr:to>
    <xdr:cxnSp macro="">
      <xdr:nvCxnSpPr>
        <xdr:cNvPr id="432" name="Conector recto 431">
          <a:extLst>
            <a:ext uri="{FF2B5EF4-FFF2-40B4-BE49-F238E27FC236}">
              <a16:creationId xmlns:a16="http://schemas.microsoft.com/office/drawing/2014/main" id="{F9C5AE20-FDE9-4334-B914-D988AADFD662}"/>
            </a:ext>
          </a:extLst>
        </xdr:cNvPr>
        <xdr:cNvCxnSpPr/>
      </xdr:nvCxnSpPr>
      <xdr:spPr>
        <a:xfrm>
          <a:off x="6074535" y="63833464"/>
          <a:ext cx="20794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275018</xdr:colOff>
      <xdr:row>398</xdr:row>
      <xdr:rowOff>134155</xdr:rowOff>
    </xdr:from>
    <xdr:to>
      <xdr:col>17</xdr:col>
      <xdr:colOff>281725</xdr:colOff>
      <xdr:row>400</xdr:row>
      <xdr:rowOff>120739</xdr:rowOff>
    </xdr:to>
    <xdr:cxnSp macro="">
      <xdr:nvCxnSpPr>
        <xdr:cNvPr id="433" name="Conector recto 432">
          <a:extLst>
            <a:ext uri="{FF2B5EF4-FFF2-40B4-BE49-F238E27FC236}">
              <a16:creationId xmlns:a16="http://schemas.microsoft.com/office/drawing/2014/main" id="{256D0EBA-9997-4900-9884-3FE4F98D4228}"/>
            </a:ext>
          </a:extLst>
        </xdr:cNvPr>
        <xdr:cNvCxnSpPr/>
      </xdr:nvCxnSpPr>
      <xdr:spPr>
        <a:xfrm flipH="1">
          <a:off x="6275768" y="63465880"/>
          <a:ext cx="6707" cy="36758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286775</xdr:colOff>
      <xdr:row>413</xdr:row>
      <xdr:rowOff>0</xdr:rowOff>
    </xdr:from>
    <xdr:to>
      <xdr:col>16</xdr:col>
      <xdr:colOff>271352</xdr:colOff>
      <xdr:row>413</xdr:row>
      <xdr:rowOff>6907</xdr:rowOff>
    </xdr:to>
    <xdr:cxnSp macro="">
      <xdr:nvCxnSpPr>
        <xdr:cNvPr id="434" name="Conector recto de flecha 433">
          <a:extLst>
            <a:ext uri="{FF2B5EF4-FFF2-40B4-BE49-F238E27FC236}">
              <a16:creationId xmlns:a16="http://schemas.microsoft.com/office/drawing/2014/main" id="{E91468A1-8118-41A0-8BC8-BFFAAF4F295D}"/>
            </a:ext>
          </a:extLst>
        </xdr:cNvPr>
        <xdr:cNvCxnSpPr/>
      </xdr:nvCxnSpPr>
      <xdr:spPr>
        <a:xfrm flipV="1">
          <a:off x="4606252" y="76061555"/>
          <a:ext cx="981379" cy="69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235032</xdr:colOff>
      <xdr:row>411</xdr:row>
      <xdr:rowOff>68036</xdr:rowOff>
    </xdr:from>
    <xdr:to>
      <xdr:col>13</xdr:col>
      <xdr:colOff>309253</xdr:colOff>
      <xdr:row>411</xdr:row>
      <xdr:rowOff>136072</xdr:rowOff>
    </xdr:to>
    <xdr:sp macro="" textlink="">
      <xdr:nvSpPr>
        <xdr:cNvPr id="435" name="Elipse 434">
          <a:extLst>
            <a:ext uri="{FF2B5EF4-FFF2-40B4-BE49-F238E27FC236}">
              <a16:creationId xmlns:a16="http://schemas.microsoft.com/office/drawing/2014/main" id="{C11574D7-181E-48BB-99AF-079A037E0B5C}"/>
            </a:ext>
          </a:extLst>
        </xdr:cNvPr>
        <xdr:cNvSpPr/>
      </xdr:nvSpPr>
      <xdr:spPr>
        <a:xfrm>
          <a:off x="4902282" y="65885786"/>
          <a:ext cx="74221" cy="6803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227080</xdr:colOff>
      <xdr:row>410</xdr:row>
      <xdr:rowOff>14138</xdr:rowOff>
    </xdr:from>
    <xdr:to>
      <xdr:col>14</xdr:col>
      <xdr:colOff>88357</xdr:colOff>
      <xdr:row>411</xdr:row>
      <xdr:rowOff>48597</xdr:rowOff>
    </xdr:to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38BC6170-3AD8-4C85-BA40-3E65F4B9CFC1}"/>
            </a:ext>
          </a:extLst>
        </xdr:cNvPr>
        <xdr:cNvSpPr txBox="1"/>
      </xdr:nvSpPr>
      <xdr:spPr>
        <a:xfrm>
          <a:off x="4523049" y="77594291"/>
          <a:ext cx="191737" cy="228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16</xdr:col>
      <xdr:colOff>269896</xdr:colOff>
      <xdr:row>413</xdr:row>
      <xdr:rowOff>10151</xdr:rowOff>
    </xdr:from>
    <xdr:to>
      <xdr:col>20</xdr:col>
      <xdr:colOff>12032</xdr:colOff>
      <xdr:row>413</xdr:row>
      <xdr:rowOff>22058</xdr:rowOff>
    </xdr:to>
    <xdr:cxnSp macro="">
      <xdr:nvCxnSpPr>
        <xdr:cNvPr id="437" name="Conector recto de flecha 436">
          <a:extLst>
            <a:ext uri="{FF2B5EF4-FFF2-40B4-BE49-F238E27FC236}">
              <a16:creationId xmlns:a16="http://schemas.microsoft.com/office/drawing/2014/main" id="{0B558A3A-D1B1-436C-A6E4-A8B16EE0820B}"/>
            </a:ext>
          </a:extLst>
        </xdr:cNvPr>
        <xdr:cNvCxnSpPr/>
      </xdr:nvCxnSpPr>
      <xdr:spPr>
        <a:xfrm>
          <a:off x="5937271" y="66018401"/>
          <a:ext cx="1075636" cy="1190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300790</xdr:colOff>
      <xdr:row>403</xdr:row>
      <xdr:rowOff>50131</xdr:rowOff>
    </xdr:from>
    <xdr:to>
      <xdr:col>16</xdr:col>
      <xdr:colOff>300790</xdr:colOff>
      <xdr:row>412</xdr:row>
      <xdr:rowOff>124</xdr:rowOff>
    </xdr:to>
    <xdr:cxnSp macro="">
      <xdr:nvCxnSpPr>
        <xdr:cNvPr id="438" name="Conector recto 437">
          <a:extLst>
            <a:ext uri="{FF2B5EF4-FFF2-40B4-BE49-F238E27FC236}">
              <a16:creationId xmlns:a16="http://schemas.microsoft.com/office/drawing/2014/main" id="{768C32EC-9C12-4067-8ED7-E9CD95F8B49D}"/>
            </a:ext>
          </a:extLst>
        </xdr:cNvPr>
        <xdr:cNvCxnSpPr/>
      </xdr:nvCxnSpPr>
      <xdr:spPr>
        <a:xfrm>
          <a:off x="5968165" y="64343881"/>
          <a:ext cx="0" cy="1664493"/>
        </a:xfrm>
        <a:prstGeom prst="line">
          <a:avLst/>
        </a:prstGeom>
        <a:ln w="9525">
          <a:solidFill>
            <a:srgbClr val="FFFF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100263</xdr:colOff>
      <xdr:row>407</xdr:row>
      <xdr:rowOff>30079</xdr:rowOff>
    </xdr:from>
    <xdr:to>
      <xdr:col>16</xdr:col>
      <xdr:colOff>100263</xdr:colOff>
      <xdr:row>411</xdr:row>
      <xdr:rowOff>49050</xdr:rowOff>
    </xdr:to>
    <xdr:cxnSp macro="">
      <xdr:nvCxnSpPr>
        <xdr:cNvPr id="439" name="Conector recto de flecha 438">
          <a:extLst>
            <a:ext uri="{FF2B5EF4-FFF2-40B4-BE49-F238E27FC236}">
              <a16:creationId xmlns:a16="http://schemas.microsoft.com/office/drawing/2014/main" id="{DF277255-854B-4DF1-9451-ECF6B2588D73}"/>
            </a:ext>
          </a:extLst>
        </xdr:cNvPr>
        <xdr:cNvCxnSpPr/>
      </xdr:nvCxnSpPr>
      <xdr:spPr>
        <a:xfrm>
          <a:off x="5767638" y="65085829"/>
          <a:ext cx="0" cy="780971"/>
        </a:xfrm>
        <a:prstGeom prst="straightConnector1">
          <a:avLst/>
        </a:prstGeom>
        <a:ln w="38100">
          <a:solidFill>
            <a:srgbClr val="0432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150395</xdr:colOff>
      <xdr:row>406</xdr:row>
      <xdr:rowOff>94327</xdr:rowOff>
    </xdr:from>
    <xdr:to>
      <xdr:col>16</xdr:col>
      <xdr:colOff>310440</xdr:colOff>
      <xdr:row>406</xdr:row>
      <xdr:rowOff>100263</xdr:rowOff>
    </xdr:to>
    <xdr:cxnSp macro="">
      <xdr:nvCxnSpPr>
        <xdr:cNvPr id="440" name="Conector recto 439">
          <a:extLst>
            <a:ext uri="{FF2B5EF4-FFF2-40B4-BE49-F238E27FC236}">
              <a16:creationId xmlns:a16="http://schemas.microsoft.com/office/drawing/2014/main" id="{9C6922A5-F575-4ED3-98FF-18ABDE0879EE}"/>
            </a:ext>
          </a:extLst>
        </xdr:cNvPr>
        <xdr:cNvCxnSpPr/>
      </xdr:nvCxnSpPr>
      <xdr:spPr>
        <a:xfrm flipV="1">
          <a:off x="4817645" y="64959577"/>
          <a:ext cx="1160170" cy="5936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275664</xdr:colOff>
      <xdr:row>406</xdr:row>
      <xdr:rowOff>9599</xdr:rowOff>
    </xdr:from>
    <xdr:to>
      <xdr:col>13</xdr:col>
      <xdr:colOff>275664</xdr:colOff>
      <xdr:row>407</xdr:row>
      <xdr:rowOff>36700</xdr:rowOff>
    </xdr:to>
    <xdr:cxnSp macro="">
      <xdr:nvCxnSpPr>
        <xdr:cNvPr id="441" name="Conector recto 440">
          <a:extLst>
            <a:ext uri="{FF2B5EF4-FFF2-40B4-BE49-F238E27FC236}">
              <a16:creationId xmlns:a16="http://schemas.microsoft.com/office/drawing/2014/main" id="{225C3AD6-2AC6-4FE0-9CB5-C650E184674B}"/>
            </a:ext>
          </a:extLst>
        </xdr:cNvPr>
        <xdr:cNvCxnSpPr/>
      </xdr:nvCxnSpPr>
      <xdr:spPr>
        <a:xfrm>
          <a:off x="4942914" y="64874849"/>
          <a:ext cx="0" cy="217601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96917</xdr:colOff>
      <xdr:row>405</xdr:row>
      <xdr:rowOff>190499</xdr:rowOff>
    </xdr:from>
    <xdr:to>
      <xdr:col>16</xdr:col>
      <xdr:colOff>96917</xdr:colOff>
      <xdr:row>407</xdr:row>
      <xdr:rowOff>19843</xdr:rowOff>
    </xdr:to>
    <xdr:cxnSp macro="">
      <xdr:nvCxnSpPr>
        <xdr:cNvPr id="442" name="Conector recto 441">
          <a:extLst>
            <a:ext uri="{FF2B5EF4-FFF2-40B4-BE49-F238E27FC236}">
              <a16:creationId xmlns:a16="http://schemas.microsoft.com/office/drawing/2014/main" id="{AA11F24F-F5B4-4C13-956B-84E085AD3C8E}"/>
            </a:ext>
          </a:extLst>
        </xdr:cNvPr>
        <xdr:cNvCxnSpPr/>
      </xdr:nvCxnSpPr>
      <xdr:spPr>
        <a:xfrm>
          <a:off x="5764292" y="64865249"/>
          <a:ext cx="0" cy="210344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286721</xdr:colOff>
      <xdr:row>406</xdr:row>
      <xdr:rowOff>264</xdr:rowOff>
    </xdr:from>
    <xdr:to>
      <xdr:col>16</xdr:col>
      <xdr:colOff>286721</xdr:colOff>
      <xdr:row>407</xdr:row>
      <xdr:rowOff>20108</xdr:rowOff>
    </xdr:to>
    <xdr:cxnSp macro="">
      <xdr:nvCxnSpPr>
        <xdr:cNvPr id="443" name="Conector recto 442">
          <a:extLst>
            <a:ext uri="{FF2B5EF4-FFF2-40B4-BE49-F238E27FC236}">
              <a16:creationId xmlns:a16="http://schemas.microsoft.com/office/drawing/2014/main" id="{0A3B0336-711E-48C1-877A-5DAA5D7B5210}"/>
            </a:ext>
          </a:extLst>
        </xdr:cNvPr>
        <xdr:cNvCxnSpPr/>
      </xdr:nvCxnSpPr>
      <xdr:spPr>
        <a:xfrm>
          <a:off x="5954096" y="64865514"/>
          <a:ext cx="0" cy="210344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248151</xdr:colOff>
      <xdr:row>407</xdr:row>
      <xdr:rowOff>52757</xdr:rowOff>
    </xdr:from>
    <xdr:to>
      <xdr:col>3</xdr:col>
      <xdr:colOff>248151</xdr:colOff>
      <xdr:row>411</xdr:row>
      <xdr:rowOff>71728</xdr:rowOff>
    </xdr:to>
    <xdr:cxnSp macro="">
      <xdr:nvCxnSpPr>
        <xdr:cNvPr id="444" name="Conector recto de flecha 443">
          <a:extLst>
            <a:ext uri="{FF2B5EF4-FFF2-40B4-BE49-F238E27FC236}">
              <a16:creationId xmlns:a16="http://schemas.microsoft.com/office/drawing/2014/main" id="{A4BD6E70-C2EA-4ECC-98F5-BD1B6B973048}"/>
            </a:ext>
          </a:extLst>
        </xdr:cNvPr>
        <xdr:cNvCxnSpPr/>
      </xdr:nvCxnSpPr>
      <xdr:spPr>
        <a:xfrm>
          <a:off x="1581651" y="65108507"/>
          <a:ext cx="0" cy="780971"/>
        </a:xfrm>
        <a:prstGeom prst="straightConnector1">
          <a:avLst/>
        </a:prstGeom>
        <a:ln w="38100">
          <a:solidFill>
            <a:srgbClr val="0432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44964</xdr:colOff>
      <xdr:row>406</xdr:row>
      <xdr:rowOff>113392</xdr:rowOff>
    </xdr:from>
    <xdr:to>
      <xdr:col>6</xdr:col>
      <xdr:colOff>11339</xdr:colOff>
      <xdr:row>410</xdr:row>
      <xdr:rowOff>125456</xdr:rowOff>
    </xdr:to>
    <xdr:sp macro="" textlink="">
      <xdr:nvSpPr>
        <xdr:cNvPr id="445" name="Flecha circular 50">
          <a:extLst>
            <a:ext uri="{FF2B5EF4-FFF2-40B4-BE49-F238E27FC236}">
              <a16:creationId xmlns:a16="http://schemas.microsoft.com/office/drawing/2014/main" id="{B544F355-2AE7-4024-8419-2D92D822E340}"/>
            </a:ext>
          </a:extLst>
        </xdr:cNvPr>
        <xdr:cNvSpPr/>
      </xdr:nvSpPr>
      <xdr:spPr>
        <a:xfrm>
          <a:off x="1378464" y="64978642"/>
          <a:ext cx="966500" cy="774064"/>
        </a:xfrm>
        <a:prstGeom prst="circularArrow">
          <a:avLst>
            <a:gd name="adj1" fmla="val 3253"/>
            <a:gd name="adj2" fmla="val 1282817"/>
            <a:gd name="adj3" fmla="val 630041"/>
            <a:gd name="adj4" fmla="val 10128746"/>
            <a:gd name="adj5" fmla="val 11218"/>
          </a:avLst>
        </a:prstGeom>
        <a:solidFill>
          <a:srgbClr val="FF40FF"/>
        </a:solidFill>
        <a:ln>
          <a:solidFill>
            <a:srgbClr val="FF4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260803</xdr:colOff>
      <xdr:row>406</xdr:row>
      <xdr:rowOff>131610</xdr:rowOff>
    </xdr:from>
    <xdr:to>
      <xdr:col>4</xdr:col>
      <xdr:colOff>165890</xdr:colOff>
      <xdr:row>411</xdr:row>
      <xdr:rowOff>86978</xdr:rowOff>
    </xdr:to>
    <xdr:sp macro="" textlink="">
      <xdr:nvSpPr>
        <xdr:cNvPr id="446" name="Flecha circular 200">
          <a:extLst>
            <a:ext uri="{FF2B5EF4-FFF2-40B4-BE49-F238E27FC236}">
              <a16:creationId xmlns:a16="http://schemas.microsoft.com/office/drawing/2014/main" id="{255EBA7A-060A-494C-8F4F-5581FEF0B89A}"/>
            </a:ext>
          </a:extLst>
        </xdr:cNvPr>
        <xdr:cNvSpPr/>
      </xdr:nvSpPr>
      <xdr:spPr>
        <a:xfrm flipH="1">
          <a:off x="927553" y="64996860"/>
          <a:ext cx="905212" cy="907868"/>
        </a:xfrm>
        <a:prstGeom prst="circularArrow">
          <a:avLst>
            <a:gd name="adj1" fmla="val 3253"/>
            <a:gd name="adj2" fmla="val 1282817"/>
            <a:gd name="adj3" fmla="val 630041"/>
            <a:gd name="adj4" fmla="val 10800000"/>
            <a:gd name="adj5" fmla="val 11218"/>
          </a:avLst>
        </a:prstGeom>
        <a:solidFill>
          <a:srgbClr val="FF40FF"/>
        </a:solidFill>
        <a:ln>
          <a:solidFill>
            <a:srgbClr val="FF4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277575</xdr:colOff>
      <xdr:row>411</xdr:row>
      <xdr:rowOff>138994</xdr:rowOff>
    </xdr:from>
    <xdr:to>
      <xdr:col>19</xdr:col>
      <xdr:colOff>330459</xdr:colOff>
      <xdr:row>412</xdr:row>
      <xdr:rowOff>200919</xdr:rowOff>
    </xdr:to>
    <xdr:sp macro="" textlink="">
      <xdr:nvSpPr>
        <xdr:cNvPr id="447" name="Rectángulo 223">
          <a:extLst>
            <a:ext uri="{FF2B5EF4-FFF2-40B4-BE49-F238E27FC236}">
              <a16:creationId xmlns:a16="http://schemas.microsoft.com/office/drawing/2014/main" id="{36E226C4-D828-4F43-BD81-5646790272A8}"/>
            </a:ext>
          </a:extLst>
        </xdr:cNvPr>
        <xdr:cNvSpPr/>
      </xdr:nvSpPr>
      <xdr:spPr>
        <a:xfrm>
          <a:off x="4573544" y="77942693"/>
          <a:ext cx="2035639" cy="256313"/>
        </a:xfrm>
        <a:custGeom>
          <a:avLst/>
          <a:gdLst>
            <a:gd name="connsiteX0" fmla="*/ 0 w 1752106"/>
            <a:gd name="connsiteY0" fmla="*/ 0 h 197908"/>
            <a:gd name="connsiteX1" fmla="*/ 1752106 w 1752106"/>
            <a:gd name="connsiteY1" fmla="*/ 0 h 197908"/>
            <a:gd name="connsiteX2" fmla="*/ 1752106 w 1752106"/>
            <a:gd name="connsiteY2" fmla="*/ 197908 h 197908"/>
            <a:gd name="connsiteX3" fmla="*/ 0 w 1752106"/>
            <a:gd name="connsiteY3" fmla="*/ 197908 h 197908"/>
            <a:gd name="connsiteX4" fmla="*/ 0 w 1752106"/>
            <a:gd name="connsiteY4" fmla="*/ 0 h 197908"/>
            <a:gd name="connsiteX0" fmla="*/ 0 w 1752106"/>
            <a:gd name="connsiteY0" fmla="*/ 0 h 197908"/>
            <a:gd name="connsiteX1" fmla="*/ 1752106 w 1752106"/>
            <a:gd name="connsiteY1" fmla="*/ 0 h 197908"/>
            <a:gd name="connsiteX2" fmla="*/ 1752106 w 1752106"/>
            <a:gd name="connsiteY2" fmla="*/ 89958 h 197908"/>
            <a:gd name="connsiteX3" fmla="*/ 0 w 1752106"/>
            <a:gd name="connsiteY3" fmla="*/ 197908 h 197908"/>
            <a:gd name="connsiteX4" fmla="*/ 0 w 1752106"/>
            <a:gd name="connsiteY4" fmla="*/ 0 h 1979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52106" h="197908">
              <a:moveTo>
                <a:pt x="0" y="0"/>
              </a:moveTo>
              <a:lnTo>
                <a:pt x="1752106" y="0"/>
              </a:lnTo>
              <a:lnTo>
                <a:pt x="1752106" y="89958"/>
              </a:lnTo>
              <a:lnTo>
                <a:pt x="0" y="197908"/>
              </a:lnTo>
              <a:lnTo>
                <a:pt x="0" y="0"/>
              </a:lnTo>
              <a:close/>
            </a:path>
          </a:pathLst>
        </a:custGeom>
        <a:pattFill prst="dkVert">
          <a:fgClr>
            <a:srgbClr val="0070C0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</xdr:col>
      <xdr:colOff>223545</xdr:colOff>
      <xdr:row>414</xdr:row>
      <xdr:rowOff>38877</xdr:rowOff>
    </xdr:from>
    <xdr:to>
      <xdr:col>19</xdr:col>
      <xdr:colOff>320739</xdr:colOff>
      <xdr:row>415</xdr:row>
      <xdr:rowOff>58316</xdr:rowOff>
    </xdr:to>
    <xdr:sp macro="" textlink="">
      <xdr:nvSpPr>
        <xdr:cNvPr id="452" name="Rectángulo 451">
          <a:extLst>
            <a:ext uri="{FF2B5EF4-FFF2-40B4-BE49-F238E27FC236}">
              <a16:creationId xmlns:a16="http://schemas.microsoft.com/office/drawing/2014/main" id="{CFCA026A-A743-4BE9-B114-67AC5499C9AC}"/>
            </a:ext>
          </a:extLst>
        </xdr:cNvPr>
        <xdr:cNvSpPr/>
      </xdr:nvSpPr>
      <xdr:spPr>
        <a:xfrm>
          <a:off x="4519514" y="78445178"/>
          <a:ext cx="2079949" cy="213827"/>
        </a:xfrm>
        <a:prstGeom prst="rect">
          <a:avLst/>
        </a:prstGeom>
        <a:pattFill prst="dkVert">
          <a:fgClr>
            <a:schemeClr val="accent2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oneCellAnchor>
    <xdr:from>
      <xdr:col>11</xdr:col>
      <xdr:colOff>98425</xdr:colOff>
      <xdr:row>418</xdr:row>
      <xdr:rowOff>54336</xdr:rowOff>
    </xdr:from>
    <xdr:ext cx="800604" cy="363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3" name="CuadroTexto 452">
              <a:extLst>
                <a:ext uri="{FF2B5EF4-FFF2-40B4-BE49-F238E27FC236}">
                  <a16:creationId xmlns:a16="http://schemas.microsoft.com/office/drawing/2014/main" id="{B2ADDB6B-CCD5-450E-9F30-D9E40E710241}"/>
                </a:ext>
              </a:extLst>
            </xdr:cNvPr>
            <xdr:cNvSpPr txBox="1"/>
          </xdr:nvSpPr>
          <xdr:spPr>
            <a:xfrm>
              <a:off x="3733476" y="67769310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_tradnl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Mvu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 −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Mhu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Vu</m:t>
                      </m:r>
                    </m:den>
                  </m:f>
                </m:oMath>
              </a14:m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453" name="CuadroTexto 452">
              <a:extLst>
                <a:ext uri="{FF2B5EF4-FFF2-40B4-BE49-F238E27FC236}">
                  <a16:creationId xmlns:a16="http://schemas.microsoft.com/office/drawing/2014/main" id="{B2ADDB6B-CCD5-450E-9F30-D9E40E710241}"/>
                </a:ext>
              </a:extLst>
            </xdr:cNvPr>
            <xdr:cNvSpPr txBox="1"/>
          </xdr:nvSpPr>
          <xdr:spPr>
            <a:xfrm>
              <a:off x="3733476" y="67769310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"Mvu −Mhu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"Vu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14</xdr:col>
      <xdr:colOff>267788</xdr:colOff>
      <xdr:row>418</xdr:row>
      <xdr:rowOff>31660</xdr:rowOff>
    </xdr:from>
    <xdr:ext cx="502920" cy="356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4" name="CuadroTexto 453">
              <a:extLst>
                <a:ext uri="{FF2B5EF4-FFF2-40B4-BE49-F238E27FC236}">
                  <a16:creationId xmlns:a16="http://schemas.microsoft.com/office/drawing/2014/main" id="{C04F8786-BE8E-4B20-8DF2-8356544F2939}"/>
                </a:ext>
              </a:extLst>
            </xdr:cNvPr>
            <xdr:cNvSpPr txBox="1"/>
          </xdr:nvSpPr>
          <xdr:spPr>
            <a:xfrm>
              <a:off x="4894217" y="67746634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B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2</m:t>
                      </m:r>
                    </m:den>
                  </m:f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−</m:t>
                  </m:r>
                  <m:sSub>
                    <m:sSub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</m:oMath>
              </a14:m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454" name="CuadroTexto 453">
              <a:extLst>
                <a:ext uri="{FF2B5EF4-FFF2-40B4-BE49-F238E27FC236}">
                  <a16:creationId xmlns:a16="http://schemas.microsoft.com/office/drawing/2014/main" id="{C04F8786-BE8E-4B20-8DF2-8356544F2939}"/>
                </a:ext>
              </a:extLst>
            </xdr:cNvPr>
            <xdr:cNvSpPr txBox="1"/>
          </xdr:nvSpPr>
          <xdr:spPr>
            <a:xfrm>
              <a:off x="4894217" y="67746634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"B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"2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"−" </a:t>
              </a:r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17</xdr:col>
      <xdr:colOff>77755</xdr:colOff>
      <xdr:row>418</xdr:row>
      <xdr:rowOff>7032</xdr:rowOff>
    </xdr:from>
    <xdr:ext cx="709247" cy="3976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7" name="CuadroTexto 456">
              <a:extLst>
                <a:ext uri="{FF2B5EF4-FFF2-40B4-BE49-F238E27FC236}">
                  <a16:creationId xmlns:a16="http://schemas.microsoft.com/office/drawing/2014/main" id="{7C204346-1A92-4649-B3CE-84F6AE6C3840}"/>
                </a:ext>
              </a:extLst>
            </xdr:cNvPr>
            <xdr:cNvSpPr txBox="1"/>
          </xdr:nvSpPr>
          <xdr:spPr>
            <a:xfrm>
              <a:off x="5695561" y="79190884"/>
              <a:ext cx="709247" cy="397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 baseline="0">
                  <a:latin typeface="Arial Narrow" panose="020B0606020202030204" pitchFamily="34" charset="0"/>
                </a:rPr>
                <a:t>      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ES" sz="900" b="1" i="0" baseline="0">
                      <a:latin typeface="Arial Narrow" panose="020B0606020202030204" pitchFamily="34" charset="0"/>
                    </a:rPr>
                    <m:t>q</m:t>
                  </m:r>
                  <m:r>
                    <m:rPr>
                      <m:nor/>
                    </m:rPr>
                    <a:rPr lang="es-ES" sz="900" b="1" i="0">
                      <a:latin typeface="Arial Narrow" panose="020B0606020202030204" pitchFamily="34" charset="0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Vu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B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 −2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e</m:t>
                      </m:r>
                    </m:den>
                  </m:f>
                  <m:r>
                    <m:rPr>
                      <m:nor/>
                    </m:rPr>
                    <a:rPr lang="es-ES" sz="900" b="1" i="0">
                      <a:latin typeface="Arial Narrow" panose="020B0606020202030204" pitchFamily="34" charset="0"/>
                    </a:rPr>
                    <m:t>        </m:t>
                  </m:r>
                  <m:sSup>
                    <m:sSup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(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kg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/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cm</m:t>
                      </m:r>
                    </m:e>
                    <m:sup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2</m:t>
                      </m:r>
                    </m:sup>
                  </m:sSup>
                  <m:r>
                    <m:rPr>
                      <m:nor/>
                    </m:rPr>
                    <a:rPr lang="es-ES" sz="900" b="1" i="0">
                      <a:latin typeface="Arial Narrow" panose="020B0606020202030204" pitchFamily="34" charset="0"/>
                    </a:rPr>
                    <m:t>)</m:t>
                  </m:r>
                </m:oMath>
              </a14:m>
              <a:r>
                <a:rPr lang="es-ES_tradnl" sz="900" b="1">
                  <a:latin typeface="Arial Narrow" panose="020B0606020202030204" pitchFamily="34" charset="0"/>
                </a:rPr>
                <a:t>   </a:t>
              </a:r>
            </a:p>
          </xdr:txBody>
        </xdr:sp>
      </mc:Choice>
      <mc:Fallback xmlns="">
        <xdr:sp macro="" textlink="">
          <xdr:nvSpPr>
            <xdr:cNvPr id="457" name="CuadroTexto 456">
              <a:extLst>
                <a:ext uri="{FF2B5EF4-FFF2-40B4-BE49-F238E27FC236}">
                  <a16:creationId xmlns:a16="http://schemas.microsoft.com/office/drawing/2014/main" id="{7C204346-1A92-4649-B3CE-84F6AE6C3840}"/>
                </a:ext>
              </a:extLst>
            </xdr:cNvPr>
            <xdr:cNvSpPr txBox="1"/>
          </xdr:nvSpPr>
          <xdr:spPr>
            <a:xfrm>
              <a:off x="5695561" y="79190884"/>
              <a:ext cx="709247" cy="397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 baseline="0">
                  <a:latin typeface="Arial Narrow" panose="020B0606020202030204" pitchFamily="34" charset="0"/>
                </a:rPr>
                <a:t>       </a:t>
              </a:r>
              <a:r>
                <a:rPr lang="es-ES" sz="900" b="1" i="0" baseline="0">
                  <a:latin typeface="Cambria Math" panose="02040503050406030204" pitchFamily="18" charset="0"/>
                </a:rPr>
                <a:t>"q</a:t>
              </a:r>
              <a:r>
                <a:rPr lang="es-ES" sz="900" b="1" i="0">
                  <a:latin typeface="Cambria Math" panose="02040503050406030204" pitchFamily="18" charset="0"/>
                </a:rPr>
                <a:t>=" </a:t>
              </a:r>
              <a:r>
                <a:rPr lang="es-ES" sz="900" b="1" i="0">
                  <a:latin typeface="Arial Narrow" panose="020B0606020202030204" pitchFamily="34" charset="0"/>
                </a:rPr>
                <a:t> "Vu</a:t>
              </a:r>
              <a:r>
                <a:rPr lang="es-ES" sz="900" b="1" i="0">
                  <a:latin typeface="Cambria Math" panose="02040503050406030204" pitchFamily="18" charset="0"/>
                </a:rPr>
                <a:t>" /"</a:t>
              </a:r>
              <a:r>
                <a:rPr lang="es-ES" sz="900" b="1" i="0">
                  <a:latin typeface="Arial Narrow" panose="020B0606020202030204" pitchFamily="34" charset="0"/>
                </a:rPr>
                <a:t>B −2e</a:t>
              </a:r>
              <a:r>
                <a:rPr lang="es-ES" sz="900" b="1" i="0">
                  <a:latin typeface="Cambria Math" panose="02040503050406030204" pitchFamily="18" charset="0"/>
                </a:rPr>
                <a:t>"  "        " 〖"</a:t>
              </a:r>
              <a:r>
                <a:rPr lang="es-ES" sz="900" b="1" i="0">
                  <a:latin typeface="Arial Narrow" panose="020B0606020202030204" pitchFamily="34" charset="0"/>
                </a:rPr>
                <a:t>(kg/cm</a:t>
              </a:r>
              <a:r>
                <a:rPr lang="es-ES" sz="900" b="1" i="0">
                  <a:latin typeface="Cambria Math" panose="02040503050406030204" pitchFamily="18" charset="0"/>
                </a:rPr>
                <a:t>" 〗^"</a:t>
              </a:r>
              <a:r>
                <a:rPr lang="es-ES" sz="900" b="1" i="0">
                  <a:latin typeface="Arial Narrow" panose="020B0606020202030204" pitchFamily="34" charset="0"/>
                </a:rPr>
                <a:t>2</a:t>
              </a:r>
              <a:r>
                <a:rPr lang="es-ES" sz="900" b="1" i="0">
                  <a:latin typeface="Cambria Math" panose="02040503050406030204" pitchFamily="18" charset="0"/>
                </a:rPr>
                <a:t>"  ")</a:t>
              </a:r>
              <a:r>
                <a:rPr lang="es-PE" sz="900" b="1" i="0">
                  <a:latin typeface="Arial Narrow" panose="020B0606020202030204" pitchFamily="34" charset="0"/>
                </a:rPr>
                <a:t>"</a:t>
              </a:r>
              <a:r>
                <a:rPr lang="es-ES_tradnl" sz="900" b="1">
                  <a:latin typeface="Arial Narrow" panose="020B0606020202030204" pitchFamily="34" charset="0"/>
                </a:rPr>
                <a:t>   </a:t>
              </a:r>
            </a:p>
          </xdr:txBody>
        </xdr:sp>
      </mc:Fallback>
    </mc:AlternateContent>
    <xdr:clientData/>
  </xdr:oneCellAnchor>
  <xdr:twoCellAnchor>
    <xdr:from>
      <xdr:col>13</xdr:col>
      <xdr:colOff>223546</xdr:colOff>
      <xdr:row>415</xdr:row>
      <xdr:rowOff>116633</xdr:rowOff>
    </xdr:from>
    <xdr:to>
      <xdr:col>16</xdr:col>
      <xdr:colOff>0</xdr:colOff>
      <xdr:row>415</xdr:row>
      <xdr:rowOff>136072</xdr:rowOff>
    </xdr:to>
    <xdr:cxnSp macro="">
      <xdr:nvCxnSpPr>
        <xdr:cNvPr id="459" name="Conector recto de flecha 458">
          <a:extLst>
            <a:ext uri="{FF2B5EF4-FFF2-40B4-BE49-F238E27FC236}">
              <a16:creationId xmlns:a16="http://schemas.microsoft.com/office/drawing/2014/main" id="{ED869AC7-5454-4B31-8092-5A7D5CFA3E91}"/>
            </a:ext>
          </a:extLst>
        </xdr:cNvPr>
        <xdr:cNvCxnSpPr/>
      </xdr:nvCxnSpPr>
      <xdr:spPr>
        <a:xfrm flipH="1">
          <a:off x="4519515" y="78727041"/>
          <a:ext cx="767832" cy="194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38878</xdr:colOff>
      <xdr:row>415</xdr:row>
      <xdr:rowOff>126352</xdr:rowOff>
    </xdr:from>
    <xdr:to>
      <xdr:col>20</xdr:col>
      <xdr:colOff>19438</xdr:colOff>
      <xdr:row>415</xdr:row>
      <xdr:rowOff>136072</xdr:rowOff>
    </xdr:to>
    <xdr:cxnSp macro="">
      <xdr:nvCxnSpPr>
        <xdr:cNvPr id="461" name="Conector recto de flecha 460">
          <a:extLst>
            <a:ext uri="{FF2B5EF4-FFF2-40B4-BE49-F238E27FC236}">
              <a16:creationId xmlns:a16="http://schemas.microsoft.com/office/drawing/2014/main" id="{63B4A20E-5B01-43B1-BCFC-9ABE653775BA}"/>
            </a:ext>
          </a:extLst>
        </xdr:cNvPr>
        <xdr:cNvCxnSpPr/>
      </xdr:nvCxnSpPr>
      <xdr:spPr>
        <a:xfrm flipV="1">
          <a:off x="5656684" y="78736760"/>
          <a:ext cx="971938" cy="97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98425</xdr:colOff>
      <xdr:row>486</xdr:row>
      <xdr:rowOff>54336</xdr:rowOff>
    </xdr:from>
    <xdr:ext cx="800604" cy="363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3" name="CuadroTexto 462">
              <a:extLst>
                <a:ext uri="{FF2B5EF4-FFF2-40B4-BE49-F238E27FC236}">
                  <a16:creationId xmlns:a16="http://schemas.microsoft.com/office/drawing/2014/main" id="{8A1D9567-6BF7-4B90-8B70-BF4E1B83D98E}"/>
                </a:ext>
              </a:extLst>
            </xdr:cNvPr>
            <xdr:cNvSpPr txBox="1"/>
          </xdr:nvSpPr>
          <xdr:spPr>
            <a:xfrm>
              <a:off x="3733476" y="67740152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_tradnl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Mvu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 −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Mhu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Vu</m:t>
                      </m:r>
                    </m:den>
                  </m:f>
                </m:oMath>
              </a14:m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463" name="CuadroTexto 462">
              <a:extLst>
                <a:ext uri="{FF2B5EF4-FFF2-40B4-BE49-F238E27FC236}">
                  <a16:creationId xmlns:a16="http://schemas.microsoft.com/office/drawing/2014/main" id="{8A1D9567-6BF7-4B90-8B70-BF4E1B83D98E}"/>
                </a:ext>
              </a:extLst>
            </xdr:cNvPr>
            <xdr:cNvSpPr txBox="1"/>
          </xdr:nvSpPr>
          <xdr:spPr>
            <a:xfrm>
              <a:off x="3733476" y="67740152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"Mvu −Mhu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"Vu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14</xdr:col>
      <xdr:colOff>267788</xdr:colOff>
      <xdr:row>486</xdr:row>
      <xdr:rowOff>31660</xdr:rowOff>
    </xdr:from>
    <xdr:ext cx="502920" cy="356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4" name="CuadroTexto 463">
              <a:extLst>
                <a:ext uri="{FF2B5EF4-FFF2-40B4-BE49-F238E27FC236}">
                  <a16:creationId xmlns:a16="http://schemas.microsoft.com/office/drawing/2014/main" id="{1176CDF3-4CAA-4CAF-B1E9-8BA4DD5AE9C6}"/>
                </a:ext>
              </a:extLst>
            </xdr:cNvPr>
            <xdr:cNvSpPr txBox="1"/>
          </xdr:nvSpPr>
          <xdr:spPr>
            <a:xfrm>
              <a:off x="4894217" y="67717476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B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2</m:t>
                      </m:r>
                    </m:den>
                  </m:f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−</m:t>
                  </m:r>
                  <m:sSub>
                    <m:sSub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</m:oMath>
              </a14:m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464" name="CuadroTexto 463">
              <a:extLst>
                <a:ext uri="{FF2B5EF4-FFF2-40B4-BE49-F238E27FC236}">
                  <a16:creationId xmlns:a16="http://schemas.microsoft.com/office/drawing/2014/main" id="{1176CDF3-4CAA-4CAF-B1E9-8BA4DD5AE9C6}"/>
                </a:ext>
              </a:extLst>
            </xdr:cNvPr>
            <xdr:cNvSpPr txBox="1"/>
          </xdr:nvSpPr>
          <xdr:spPr>
            <a:xfrm>
              <a:off x="4894217" y="67717476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"B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"2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"−" </a:t>
              </a:r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17</xdr:col>
      <xdr:colOff>266156</xdr:colOff>
      <xdr:row>486</xdr:row>
      <xdr:rowOff>31114</xdr:rowOff>
    </xdr:from>
    <xdr:ext cx="502920" cy="357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5" name="CuadroTexto 464">
              <a:extLst>
                <a:ext uri="{FF2B5EF4-FFF2-40B4-BE49-F238E27FC236}">
                  <a16:creationId xmlns:a16="http://schemas.microsoft.com/office/drawing/2014/main" id="{81F5227A-82E5-4737-8360-E627175E038D}"/>
                </a:ext>
              </a:extLst>
            </xdr:cNvPr>
            <xdr:cNvSpPr txBox="1"/>
          </xdr:nvSpPr>
          <xdr:spPr>
            <a:xfrm>
              <a:off x="5883962" y="67716930"/>
              <a:ext cx="502920" cy="357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es-ES_tradnl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e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max</m:t>
                      </m:r>
                    </m:sub>
                  </m:sSub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B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3</m:t>
                      </m:r>
                    </m:den>
                  </m:f>
                </m:oMath>
              </a14:m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465" name="CuadroTexto 464">
              <a:extLst>
                <a:ext uri="{FF2B5EF4-FFF2-40B4-BE49-F238E27FC236}">
                  <a16:creationId xmlns:a16="http://schemas.microsoft.com/office/drawing/2014/main" id="{81F5227A-82E5-4737-8360-E627175E038D}"/>
                </a:ext>
              </a:extLst>
            </xdr:cNvPr>
            <xdr:cNvSpPr txBox="1"/>
          </xdr:nvSpPr>
          <xdr:spPr>
            <a:xfrm>
              <a:off x="5883962" y="67716930"/>
              <a:ext cx="502920" cy="357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 i="0">
                  <a:latin typeface="+mn-lt"/>
                </a:rPr>
                <a:t>"e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"max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"B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"3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7</xdr:col>
      <xdr:colOff>161925</xdr:colOff>
      <xdr:row>500</xdr:row>
      <xdr:rowOff>9525</xdr:rowOff>
    </xdr:from>
    <xdr:ext cx="663643" cy="1463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6" name="CuadroTexto 465">
              <a:extLst>
                <a:ext uri="{FF2B5EF4-FFF2-40B4-BE49-F238E27FC236}">
                  <a16:creationId xmlns:a16="http://schemas.microsoft.com/office/drawing/2014/main" id="{E15B6482-3D5F-44C0-B79D-79B5C61B3CAE}"/>
                </a:ext>
              </a:extLst>
            </xdr:cNvPr>
            <xdr:cNvSpPr txBox="1"/>
          </xdr:nvSpPr>
          <xdr:spPr>
            <a:xfrm>
              <a:off x="2475139" y="73429780"/>
              <a:ext cx="663643" cy="1463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_tradnl" sz="9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</a:rPr>
                          <m:t>F</m:t>
                        </m:r>
                      </m:e>
                      <m:sub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</a:rPr>
                          <m:t>f</m:t>
                        </m:r>
                      </m:sub>
                    </m:sSub>
                    <m:r>
                      <m:rPr>
                        <m:nor/>
                      </m:rPr>
                      <a:rPr lang="es-ES" sz="900" b="1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l-GR" sz="900" b="1" i="0">
                        <a:latin typeface="+mn-lt"/>
                        <a:ea typeface="Cambria Math" panose="02040503050406030204" pitchFamily="18" charset="0"/>
                      </a:rPr>
                      <m:t>μ</m:t>
                    </m:r>
                    <m:r>
                      <m:rPr>
                        <m:nor/>
                      </m:rPr>
                      <a:rPr lang="es-ES" sz="900" b="1" i="0">
                        <a:latin typeface="+mn-lt"/>
                        <a:ea typeface="Cambria Math" panose="02040503050406030204" pitchFamily="18" charset="0"/>
                      </a:rPr>
                      <m:t> (</m:t>
                    </m:r>
                    <m:sSub>
                      <m:sSubPr>
                        <m:ctrlPr>
                          <a:rPr lang="es-ES" sz="9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∅</m:t>
                        </m:r>
                      </m:e>
                      <m:sub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T</m:t>
                        </m:r>
                      </m:sub>
                    </m:sSub>
                    <m:r>
                      <m:rPr>
                        <m:nor/>
                      </m:rPr>
                      <a:rPr lang="es-ES" sz="900" b="1" i="0">
                        <a:latin typeface="+mn-lt"/>
                        <a:ea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s-ES" sz="9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nor/>
                          </m:rPr>
                          <a:rPr lang="es-ES" sz="900" b="1" i="0">
                            <a:latin typeface="+mn-lt"/>
                            <a:ea typeface="Cambria Math" panose="02040503050406030204" pitchFamily="18" charset="0"/>
                          </a:rPr>
                          <m:t>u</m:t>
                        </m:r>
                      </m:sub>
                    </m:sSub>
                    <m:r>
                      <m:rPr>
                        <m:nor/>
                      </m:rPr>
                      <a:rPr lang="es-ES" sz="900" b="1" i="0">
                        <a:latin typeface="+mn-lt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s-ES_tradnl" sz="900" b="1">
                <a:latin typeface="+mn-lt"/>
              </a:endParaRPr>
            </a:p>
          </xdr:txBody>
        </xdr:sp>
      </mc:Choice>
      <mc:Fallback xmlns="">
        <xdr:sp macro="" textlink="">
          <xdr:nvSpPr>
            <xdr:cNvPr id="466" name="CuadroTexto 465">
              <a:extLst>
                <a:ext uri="{FF2B5EF4-FFF2-40B4-BE49-F238E27FC236}">
                  <a16:creationId xmlns:a16="http://schemas.microsoft.com/office/drawing/2014/main" id="{E15B6482-3D5F-44C0-B79D-79B5C61B3CAE}"/>
                </a:ext>
              </a:extLst>
            </xdr:cNvPr>
            <xdr:cNvSpPr txBox="1"/>
          </xdr:nvSpPr>
          <xdr:spPr>
            <a:xfrm>
              <a:off x="2475139" y="73429780"/>
              <a:ext cx="663643" cy="1463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900" b="1" i="0">
                  <a:latin typeface="+mn-lt"/>
                </a:rPr>
                <a:t>"F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"f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</a:t>
              </a:r>
              <a:r>
                <a:rPr lang="el-GR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μ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 ("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"∅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"T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"∗"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"V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"u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  <a:ea typeface="Cambria Math" panose="02040503050406030204" pitchFamily="18" charset="0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")</a:t>
              </a:r>
              <a:r>
                <a:rPr lang="es-PE" sz="900" b="1" i="0">
                  <a:latin typeface="+mn-lt"/>
                  <a:ea typeface="Cambria Math" panose="02040503050406030204" pitchFamily="18" charset="0"/>
                </a:rPr>
                <a:t>"</a:t>
              </a:r>
              <a:endParaRPr lang="es-ES_tradnl" sz="900" b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11</xdr:col>
      <xdr:colOff>98425</xdr:colOff>
      <xdr:row>536</xdr:row>
      <xdr:rowOff>54336</xdr:rowOff>
    </xdr:from>
    <xdr:ext cx="800604" cy="3631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7" name="CuadroTexto 466">
              <a:extLst>
                <a:ext uri="{FF2B5EF4-FFF2-40B4-BE49-F238E27FC236}">
                  <a16:creationId xmlns:a16="http://schemas.microsoft.com/office/drawing/2014/main" id="{18D3BC9B-9204-41F1-817B-E5DB2C148895}"/>
                </a:ext>
              </a:extLst>
            </xdr:cNvPr>
            <xdr:cNvSpPr txBox="1"/>
          </xdr:nvSpPr>
          <xdr:spPr>
            <a:xfrm>
              <a:off x="3733476" y="79218749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_tradnl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Mvu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 −</m:t>
                      </m:r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Mhu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Vu</m:t>
                      </m:r>
                    </m:den>
                  </m:f>
                </m:oMath>
              </a14:m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467" name="CuadroTexto 466">
              <a:extLst>
                <a:ext uri="{FF2B5EF4-FFF2-40B4-BE49-F238E27FC236}">
                  <a16:creationId xmlns:a16="http://schemas.microsoft.com/office/drawing/2014/main" id="{18D3BC9B-9204-41F1-817B-E5DB2C148895}"/>
                </a:ext>
              </a:extLst>
            </xdr:cNvPr>
            <xdr:cNvSpPr txBox="1"/>
          </xdr:nvSpPr>
          <xdr:spPr>
            <a:xfrm>
              <a:off x="3733476" y="79218749"/>
              <a:ext cx="800604" cy="363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 i="0">
                  <a:latin typeface="Cambria Math" panose="02040503050406030204" pitchFamily="18" charset="0"/>
                </a:rPr>
                <a:t>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"Mvu −Mhu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"Vu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14</xdr:col>
      <xdr:colOff>267788</xdr:colOff>
      <xdr:row>536</xdr:row>
      <xdr:rowOff>31660</xdr:rowOff>
    </xdr:from>
    <xdr:ext cx="502920" cy="356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8" name="CuadroTexto 467">
              <a:extLst>
                <a:ext uri="{FF2B5EF4-FFF2-40B4-BE49-F238E27FC236}">
                  <a16:creationId xmlns:a16="http://schemas.microsoft.com/office/drawing/2014/main" id="{77A60BBF-562D-489D-9857-6BA6F5201069}"/>
                </a:ext>
              </a:extLst>
            </xdr:cNvPr>
            <xdr:cNvSpPr txBox="1"/>
          </xdr:nvSpPr>
          <xdr:spPr>
            <a:xfrm>
              <a:off x="4894217" y="79196073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B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2</m:t>
                      </m:r>
                    </m:den>
                  </m:f>
                  <m:r>
                    <m:rPr>
                      <m:nor/>
                    </m:rPr>
                    <a:rPr lang="es-ES" sz="900" b="1" i="0">
                      <a:latin typeface="+mn-lt"/>
                    </a:rPr>
                    <m:t>−</m:t>
                  </m:r>
                  <m:sSub>
                    <m:sSub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x</m:t>
                      </m:r>
                    </m:e>
                    <m:sub>
                      <m:r>
                        <m:rPr>
                          <m:nor/>
                        </m:rPr>
                        <a:rPr lang="es-ES" sz="900" b="1" i="0">
                          <a:latin typeface="+mn-lt"/>
                        </a:rPr>
                        <m:t>o</m:t>
                      </m:r>
                    </m:sub>
                  </m:sSub>
                </m:oMath>
              </a14:m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Choice>
      <mc:Fallback xmlns="">
        <xdr:sp macro="" textlink="">
          <xdr:nvSpPr>
            <xdr:cNvPr id="468" name="CuadroTexto 467">
              <a:extLst>
                <a:ext uri="{FF2B5EF4-FFF2-40B4-BE49-F238E27FC236}">
                  <a16:creationId xmlns:a16="http://schemas.microsoft.com/office/drawing/2014/main" id="{77A60BBF-562D-489D-9857-6BA6F5201069}"/>
                </a:ext>
              </a:extLst>
            </xdr:cNvPr>
            <xdr:cNvSpPr txBox="1"/>
          </xdr:nvSpPr>
          <xdr:spPr>
            <a:xfrm>
              <a:off x="4894217" y="79196073"/>
              <a:ext cx="502920" cy="356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/>
                <a:t>e</a:t>
              </a:r>
              <a:r>
                <a:rPr lang="es-ES" sz="900" b="1" baseline="0"/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"=" </a:t>
              </a:r>
              <a:r>
                <a:rPr lang="es-ES" sz="900" b="1" i="0">
                  <a:latin typeface="+mn-lt"/>
                </a:rPr>
                <a:t> "B</a:t>
              </a:r>
              <a:r>
                <a:rPr lang="es-ES" sz="900" b="1" i="0">
                  <a:latin typeface="Cambria Math" panose="02040503050406030204" pitchFamily="18" charset="0"/>
                </a:rPr>
                <a:t>" /</a:t>
              </a:r>
              <a:r>
                <a:rPr lang="es-ES" sz="900" b="1" i="0">
                  <a:latin typeface="+mn-lt"/>
                </a:rPr>
                <a:t>"2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" sz="900" b="1" i="0">
                  <a:latin typeface="+mn-lt"/>
                </a:rPr>
                <a:t> </a:t>
              </a:r>
              <a:r>
                <a:rPr lang="es-ES" sz="900" b="1" i="0">
                  <a:latin typeface="Cambria Math" panose="02040503050406030204" pitchFamily="18" charset="0"/>
                </a:rPr>
                <a:t>"−" </a:t>
              </a:r>
              <a:r>
                <a:rPr lang="es-ES" sz="900" b="1" i="0">
                  <a:latin typeface="+mn-lt"/>
                </a:rPr>
                <a:t>"x</a:t>
              </a:r>
              <a:r>
                <a:rPr lang="es-ES" sz="900" b="1" i="0">
                  <a:latin typeface="Cambria Math" panose="02040503050406030204" pitchFamily="18" charset="0"/>
                </a:rPr>
                <a:t>" _</a:t>
              </a:r>
              <a:r>
                <a:rPr lang="es-ES" sz="900" b="1" i="0">
                  <a:latin typeface="+mn-lt"/>
                </a:rPr>
                <a:t>"o</a:t>
              </a:r>
              <a:r>
                <a:rPr lang="es-ES" sz="900" b="1" i="0">
                  <a:latin typeface="Cambria Math" panose="02040503050406030204" pitchFamily="18" charset="0"/>
                </a:rPr>
                <a:t>" </a:t>
              </a:r>
              <a:r>
                <a:rPr lang="es-ES_tradnl" sz="900" b="1">
                  <a:latin typeface="+mn-lt"/>
                </a:rPr>
                <a:t>  </a:t>
              </a:r>
            </a:p>
            <a:p>
              <a:pPr algn="ctr"/>
              <a:r>
                <a:rPr lang="es-ES_tradnl" sz="900" b="1">
                  <a:latin typeface="+mn-lt"/>
                </a:rPr>
                <a:t>(m)</a:t>
              </a:r>
            </a:p>
          </xdr:txBody>
        </xdr:sp>
      </mc:Fallback>
    </mc:AlternateContent>
    <xdr:clientData/>
  </xdr:oneCellAnchor>
  <xdr:oneCellAnchor>
    <xdr:from>
      <xdr:col>17</xdr:col>
      <xdr:colOff>77755</xdr:colOff>
      <xdr:row>536</xdr:row>
      <xdr:rowOff>7032</xdr:rowOff>
    </xdr:from>
    <xdr:ext cx="709247" cy="3976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9" name="CuadroTexto 468">
              <a:extLst>
                <a:ext uri="{FF2B5EF4-FFF2-40B4-BE49-F238E27FC236}">
                  <a16:creationId xmlns:a16="http://schemas.microsoft.com/office/drawing/2014/main" id="{576305B7-8406-4D58-8A73-F5BEDBFE54AD}"/>
                </a:ext>
              </a:extLst>
            </xdr:cNvPr>
            <xdr:cNvSpPr txBox="1"/>
          </xdr:nvSpPr>
          <xdr:spPr>
            <a:xfrm>
              <a:off x="5695561" y="79171445"/>
              <a:ext cx="709247" cy="397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 baseline="0">
                  <a:latin typeface="Arial Narrow" panose="020B0606020202030204" pitchFamily="34" charset="0"/>
                </a:rPr>
                <a:t>      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es-ES" sz="900" b="1" i="0" baseline="0">
                      <a:latin typeface="Arial Narrow" panose="020B0606020202030204" pitchFamily="34" charset="0"/>
                    </a:rPr>
                    <m:t>q</m:t>
                  </m:r>
                  <m:r>
                    <m:rPr>
                      <m:nor/>
                    </m:rPr>
                    <a:rPr lang="es-ES" sz="900" b="1" i="0">
                      <a:latin typeface="Arial Narrow" panose="020B0606020202030204" pitchFamily="34" charset="0"/>
                    </a:rPr>
                    <m:t>=</m:t>
                  </m:r>
                  <m:f>
                    <m:f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Vu</m:t>
                      </m:r>
                    </m:num>
                    <m:den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B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 −2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e</m:t>
                      </m:r>
                    </m:den>
                  </m:f>
                  <m:r>
                    <m:rPr>
                      <m:nor/>
                    </m:rPr>
                    <a:rPr lang="es-ES" sz="900" b="1" i="0">
                      <a:latin typeface="Arial Narrow" panose="020B0606020202030204" pitchFamily="34" charset="0"/>
                    </a:rPr>
                    <m:t>        </m:t>
                  </m:r>
                  <m:sSup>
                    <m:sSupPr>
                      <m:ctrlPr>
                        <a:rPr lang="es-ES" sz="9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(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kg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/</m:t>
                      </m:r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cm</m:t>
                      </m:r>
                    </m:e>
                    <m:sup>
                      <m:r>
                        <m:rPr>
                          <m:nor/>
                        </m:rPr>
                        <a:rPr lang="es-ES" sz="900" b="1" i="0">
                          <a:latin typeface="Arial Narrow" panose="020B0606020202030204" pitchFamily="34" charset="0"/>
                        </a:rPr>
                        <m:t>2</m:t>
                      </m:r>
                    </m:sup>
                  </m:sSup>
                  <m:r>
                    <m:rPr>
                      <m:nor/>
                    </m:rPr>
                    <a:rPr lang="es-ES" sz="900" b="1" i="0">
                      <a:latin typeface="Arial Narrow" panose="020B0606020202030204" pitchFamily="34" charset="0"/>
                    </a:rPr>
                    <m:t>)</m:t>
                  </m:r>
                </m:oMath>
              </a14:m>
              <a:r>
                <a:rPr lang="es-ES_tradnl" sz="900" b="1">
                  <a:latin typeface="Arial Narrow" panose="020B0606020202030204" pitchFamily="34" charset="0"/>
                </a:rPr>
                <a:t>   </a:t>
              </a:r>
            </a:p>
          </xdr:txBody>
        </xdr:sp>
      </mc:Choice>
      <mc:Fallback xmlns="">
        <xdr:sp macro="" textlink="">
          <xdr:nvSpPr>
            <xdr:cNvPr id="469" name="CuadroTexto 468">
              <a:extLst>
                <a:ext uri="{FF2B5EF4-FFF2-40B4-BE49-F238E27FC236}">
                  <a16:creationId xmlns:a16="http://schemas.microsoft.com/office/drawing/2014/main" id="{576305B7-8406-4D58-8A73-F5BEDBFE54AD}"/>
                </a:ext>
              </a:extLst>
            </xdr:cNvPr>
            <xdr:cNvSpPr txBox="1"/>
          </xdr:nvSpPr>
          <xdr:spPr>
            <a:xfrm>
              <a:off x="5695561" y="79171445"/>
              <a:ext cx="709247" cy="397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 algn="ctr"/>
              <a:r>
                <a:rPr lang="es-ES" sz="900" b="1" baseline="0">
                  <a:latin typeface="Arial Narrow" panose="020B0606020202030204" pitchFamily="34" charset="0"/>
                </a:rPr>
                <a:t>       </a:t>
              </a:r>
              <a:r>
                <a:rPr lang="es-ES" sz="900" b="1" i="0" baseline="0">
                  <a:latin typeface="Cambria Math" panose="02040503050406030204" pitchFamily="18" charset="0"/>
                </a:rPr>
                <a:t>"q</a:t>
              </a:r>
              <a:r>
                <a:rPr lang="es-ES" sz="900" b="1" i="0">
                  <a:latin typeface="Cambria Math" panose="02040503050406030204" pitchFamily="18" charset="0"/>
                </a:rPr>
                <a:t>=" </a:t>
              </a:r>
              <a:r>
                <a:rPr lang="es-ES" sz="900" b="1" i="0">
                  <a:latin typeface="Arial Narrow" panose="020B0606020202030204" pitchFamily="34" charset="0"/>
                </a:rPr>
                <a:t> "Vu</a:t>
              </a:r>
              <a:r>
                <a:rPr lang="es-ES" sz="900" b="1" i="0">
                  <a:latin typeface="Cambria Math" panose="02040503050406030204" pitchFamily="18" charset="0"/>
                </a:rPr>
                <a:t>" /"</a:t>
              </a:r>
              <a:r>
                <a:rPr lang="es-ES" sz="900" b="1" i="0">
                  <a:latin typeface="Arial Narrow" panose="020B0606020202030204" pitchFamily="34" charset="0"/>
                </a:rPr>
                <a:t>B −2e</a:t>
              </a:r>
              <a:r>
                <a:rPr lang="es-ES" sz="900" b="1" i="0">
                  <a:latin typeface="Cambria Math" panose="02040503050406030204" pitchFamily="18" charset="0"/>
                </a:rPr>
                <a:t>"  "        " 〖"</a:t>
              </a:r>
              <a:r>
                <a:rPr lang="es-ES" sz="900" b="1" i="0">
                  <a:latin typeface="Arial Narrow" panose="020B0606020202030204" pitchFamily="34" charset="0"/>
                </a:rPr>
                <a:t>(kg/cm</a:t>
              </a:r>
              <a:r>
                <a:rPr lang="es-ES" sz="900" b="1" i="0">
                  <a:latin typeface="Cambria Math" panose="02040503050406030204" pitchFamily="18" charset="0"/>
                </a:rPr>
                <a:t>" 〗^"</a:t>
              </a:r>
              <a:r>
                <a:rPr lang="es-ES" sz="900" b="1" i="0">
                  <a:latin typeface="Arial Narrow" panose="020B0606020202030204" pitchFamily="34" charset="0"/>
                </a:rPr>
                <a:t>2</a:t>
              </a:r>
              <a:r>
                <a:rPr lang="es-ES" sz="900" b="1" i="0">
                  <a:latin typeface="Cambria Math" panose="02040503050406030204" pitchFamily="18" charset="0"/>
                </a:rPr>
                <a:t>"  ")</a:t>
              </a:r>
              <a:r>
                <a:rPr lang="es-PE" sz="900" b="1" i="0">
                  <a:latin typeface="Arial Narrow" panose="020B0606020202030204" pitchFamily="34" charset="0"/>
                </a:rPr>
                <a:t>"</a:t>
              </a:r>
              <a:r>
                <a:rPr lang="es-ES_tradnl" sz="900" b="1">
                  <a:latin typeface="Arial Narrow" panose="020B0606020202030204" pitchFamily="34" charset="0"/>
                </a:rPr>
                <a:t>   </a:t>
              </a:r>
            </a:p>
          </xdr:txBody>
        </xdr:sp>
      </mc:Fallback>
    </mc:AlternateContent>
    <xdr:clientData/>
  </xdr:oneCellAnchor>
  <xdr:twoCellAnchor>
    <xdr:from>
      <xdr:col>10</xdr:col>
      <xdr:colOff>331769</xdr:colOff>
      <xdr:row>508</xdr:row>
      <xdr:rowOff>58862</xdr:rowOff>
    </xdr:from>
    <xdr:to>
      <xdr:col>11</xdr:col>
      <xdr:colOff>10703</xdr:colOff>
      <xdr:row>512</xdr:row>
      <xdr:rowOff>22679</xdr:rowOff>
    </xdr:to>
    <xdr:cxnSp macro="">
      <xdr:nvCxnSpPr>
        <xdr:cNvPr id="471" name="Conector recto 470">
          <a:extLst>
            <a:ext uri="{FF2B5EF4-FFF2-40B4-BE49-F238E27FC236}">
              <a16:creationId xmlns:a16="http://schemas.microsoft.com/office/drawing/2014/main" id="{A2EF420F-46C3-4CBA-8473-5780007AC641}"/>
            </a:ext>
          </a:extLst>
        </xdr:cNvPr>
        <xdr:cNvCxnSpPr/>
      </xdr:nvCxnSpPr>
      <xdr:spPr>
        <a:xfrm flipH="1">
          <a:off x="3649466" y="95464045"/>
          <a:ext cx="10703" cy="73437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</xdr:colOff>
      <xdr:row>512</xdr:row>
      <xdr:rowOff>5351</xdr:rowOff>
    </xdr:from>
    <xdr:to>
      <xdr:col>12</xdr:col>
      <xdr:colOff>283610</xdr:colOff>
      <xdr:row>512</xdr:row>
      <xdr:rowOff>11339</xdr:rowOff>
    </xdr:to>
    <xdr:cxnSp macro="">
      <xdr:nvCxnSpPr>
        <xdr:cNvPr id="474" name="Conector recto 473">
          <a:extLst>
            <a:ext uri="{FF2B5EF4-FFF2-40B4-BE49-F238E27FC236}">
              <a16:creationId xmlns:a16="http://schemas.microsoft.com/office/drawing/2014/main" id="{E5C1A642-3021-4F7F-8BD5-8B16D77DE14A}"/>
            </a:ext>
          </a:extLst>
        </xdr:cNvPr>
        <xdr:cNvCxnSpPr/>
      </xdr:nvCxnSpPr>
      <xdr:spPr>
        <a:xfrm flipV="1">
          <a:off x="3656092" y="95988455"/>
          <a:ext cx="608754" cy="59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267429</xdr:colOff>
      <xdr:row>512</xdr:row>
      <xdr:rowOff>5351</xdr:rowOff>
    </xdr:from>
    <xdr:to>
      <xdr:col>12</xdr:col>
      <xdr:colOff>272907</xdr:colOff>
      <xdr:row>514</xdr:row>
      <xdr:rowOff>181938</xdr:rowOff>
    </xdr:to>
    <xdr:cxnSp macro="">
      <xdr:nvCxnSpPr>
        <xdr:cNvPr id="476" name="Conector recto 475">
          <a:extLst>
            <a:ext uri="{FF2B5EF4-FFF2-40B4-BE49-F238E27FC236}">
              <a16:creationId xmlns:a16="http://schemas.microsoft.com/office/drawing/2014/main" id="{B0C2E8C6-D5B7-447E-80F2-DE30858A196E}"/>
            </a:ext>
          </a:extLst>
        </xdr:cNvPr>
        <xdr:cNvCxnSpPr/>
      </xdr:nvCxnSpPr>
      <xdr:spPr>
        <a:xfrm flipH="1">
          <a:off x="4248665" y="95988455"/>
          <a:ext cx="5478" cy="5618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203343</xdr:colOff>
      <xdr:row>514</xdr:row>
      <xdr:rowOff>176587</xdr:rowOff>
    </xdr:from>
    <xdr:to>
      <xdr:col>12</xdr:col>
      <xdr:colOff>272781</xdr:colOff>
      <xdr:row>514</xdr:row>
      <xdr:rowOff>176587</xdr:rowOff>
    </xdr:to>
    <xdr:cxnSp macro="">
      <xdr:nvCxnSpPr>
        <xdr:cNvPr id="478" name="Conector recto 477">
          <a:extLst>
            <a:ext uri="{FF2B5EF4-FFF2-40B4-BE49-F238E27FC236}">
              <a16:creationId xmlns:a16="http://schemas.microsoft.com/office/drawing/2014/main" id="{345B72D7-5913-448E-86E5-273B9E15802D}"/>
            </a:ext>
          </a:extLst>
        </xdr:cNvPr>
        <xdr:cNvCxnSpPr/>
      </xdr:nvCxnSpPr>
      <xdr:spPr>
        <a:xfrm flipH="1">
          <a:off x="3189270" y="96544972"/>
          <a:ext cx="106474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204107</xdr:colOff>
      <xdr:row>514</xdr:row>
      <xdr:rowOff>171236</xdr:rowOff>
    </xdr:from>
    <xdr:to>
      <xdr:col>9</xdr:col>
      <xdr:colOff>208694</xdr:colOff>
      <xdr:row>516</xdr:row>
      <xdr:rowOff>11340</xdr:rowOff>
    </xdr:to>
    <xdr:cxnSp macro="">
      <xdr:nvCxnSpPr>
        <xdr:cNvPr id="480" name="Conector recto 479">
          <a:extLst>
            <a:ext uri="{FF2B5EF4-FFF2-40B4-BE49-F238E27FC236}">
              <a16:creationId xmlns:a16="http://schemas.microsoft.com/office/drawing/2014/main" id="{B3C836ED-59A7-46CB-8FE9-AED13EA62D42}"/>
            </a:ext>
          </a:extLst>
        </xdr:cNvPr>
        <xdr:cNvCxnSpPr/>
      </xdr:nvCxnSpPr>
      <xdr:spPr>
        <a:xfrm flipH="1">
          <a:off x="3190034" y="96539621"/>
          <a:ext cx="4587" cy="22538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240801</xdr:colOff>
      <xdr:row>516</xdr:row>
      <xdr:rowOff>10193</xdr:rowOff>
    </xdr:from>
    <xdr:to>
      <xdr:col>9</xdr:col>
      <xdr:colOff>204107</xdr:colOff>
      <xdr:row>516</xdr:row>
      <xdr:rowOff>10702</xdr:rowOff>
    </xdr:to>
    <xdr:cxnSp macro="">
      <xdr:nvCxnSpPr>
        <xdr:cNvPr id="482" name="Conector recto 481">
          <a:extLst>
            <a:ext uri="{FF2B5EF4-FFF2-40B4-BE49-F238E27FC236}">
              <a16:creationId xmlns:a16="http://schemas.microsoft.com/office/drawing/2014/main" id="{4D5A7B67-D202-4D32-BC65-C7E1DEE70ED2}"/>
            </a:ext>
          </a:extLst>
        </xdr:cNvPr>
        <xdr:cNvCxnSpPr/>
      </xdr:nvCxnSpPr>
      <xdr:spPr>
        <a:xfrm flipV="1">
          <a:off x="2894958" y="96763859"/>
          <a:ext cx="295076" cy="50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238782</xdr:colOff>
      <xdr:row>514</xdr:row>
      <xdr:rowOff>184507</xdr:rowOff>
    </xdr:from>
    <xdr:to>
      <xdr:col>8</xdr:col>
      <xdr:colOff>243369</xdr:colOff>
      <xdr:row>516</xdr:row>
      <xdr:rowOff>24611</xdr:rowOff>
    </xdr:to>
    <xdr:cxnSp macro="">
      <xdr:nvCxnSpPr>
        <xdr:cNvPr id="488" name="Conector recto 487">
          <a:extLst>
            <a:ext uri="{FF2B5EF4-FFF2-40B4-BE49-F238E27FC236}">
              <a16:creationId xmlns:a16="http://schemas.microsoft.com/office/drawing/2014/main" id="{5E8B6FD7-9BD5-493D-85C6-EE0C127BD974}"/>
            </a:ext>
          </a:extLst>
        </xdr:cNvPr>
        <xdr:cNvCxnSpPr/>
      </xdr:nvCxnSpPr>
      <xdr:spPr>
        <a:xfrm flipH="1">
          <a:off x="2892939" y="96552892"/>
          <a:ext cx="4587" cy="22538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189859</xdr:colOff>
      <xdr:row>514</xdr:row>
      <xdr:rowOff>184507</xdr:rowOff>
    </xdr:from>
    <xdr:to>
      <xdr:col>8</xdr:col>
      <xdr:colOff>259297</xdr:colOff>
      <xdr:row>514</xdr:row>
      <xdr:rowOff>184507</xdr:rowOff>
    </xdr:to>
    <xdr:cxnSp macro="">
      <xdr:nvCxnSpPr>
        <xdr:cNvPr id="489" name="Conector recto 488">
          <a:extLst>
            <a:ext uri="{FF2B5EF4-FFF2-40B4-BE49-F238E27FC236}">
              <a16:creationId xmlns:a16="http://schemas.microsoft.com/office/drawing/2014/main" id="{2C422863-4F10-4C4F-AEE2-FA8BEC1D388B}"/>
            </a:ext>
          </a:extLst>
        </xdr:cNvPr>
        <xdr:cNvCxnSpPr/>
      </xdr:nvCxnSpPr>
      <xdr:spPr>
        <a:xfrm flipH="1">
          <a:off x="1848707" y="96552892"/>
          <a:ext cx="106474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195083</xdr:colOff>
      <xdr:row>512</xdr:row>
      <xdr:rowOff>5351</xdr:rowOff>
    </xdr:from>
    <xdr:to>
      <xdr:col>5</xdr:col>
      <xdr:colOff>197992</xdr:colOff>
      <xdr:row>514</xdr:row>
      <xdr:rowOff>184506</xdr:rowOff>
    </xdr:to>
    <xdr:cxnSp macro="">
      <xdr:nvCxnSpPr>
        <xdr:cNvPr id="490" name="Conector recto 489">
          <a:extLst>
            <a:ext uri="{FF2B5EF4-FFF2-40B4-BE49-F238E27FC236}">
              <a16:creationId xmlns:a16="http://schemas.microsoft.com/office/drawing/2014/main" id="{F1B2402A-D4C1-4E99-8472-BD7930AE56CC}"/>
            </a:ext>
          </a:extLst>
        </xdr:cNvPr>
        <xdr:cNvCxnSpPr/>
      </xdr:nvCxnSpPr>
      <xdr:spPr>
        <a:xfrm flipH="1">
          <a:off x="1853931" y="95988455"/>
          <a:ext cx="2909" cy="56443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201835</xdr:colOff>
      <xdr:row>512</xdr:row>
      <xdr:rowOff>2568</xdr:rowOff>
    </xdr:from>
    <xdr:to>
      <xdr:col>7</xdr:col>
      <xdr:colOff>147049</xdr:colOff>
      <xdr:row>512</xdr:row>
      <xdr:rowOff>8556</xdr:rowOff>
    </xdr:to>
    <xdr:cxnSp macro="">
      <xdr:nvCxnSpPr>
        <xdr:cNvPr id="494" name="Conector recto 493">
          <a:extLst>
            <a:ext uri="{FF2B5EF4-FFF2-40B4-BE49-F238E27FC236}">
              <a16:creationId xmlns:a16="http://schemas.microsoft.com/office/drawing/2014/main" id="{7350BD76-4F16-4462-9470-ADDCBD09738B}"/>
            </a:ext>
          </a:extLst>
        </xdr:cNvPr>
        <xdr:cNvCxnSpPr/>
      </xdr:nvCxnSpPr>
      <xdr:spPr>
        <a:xfrm flipV="1">
          <a:off x="1860683" y="95985672"/>
          <a:ext cx="608754" cy="59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149831</xdr:colOff>
      <xdr:row>508</xdr:row>
      <xdr:rowOff>42809</xdr:rowOff>
    </xdr:from>
    <xdr:to>
      <xdr:col>8</xdr:col>
      <xdr:colOff>123076</xdr:colOff>
      <xdr:row>511</xdr:row>
      <xdr:rowOff>192640</xdr:rowOff>
    </xdr:to>
    <xdr:cxnSp macro="">
      <xdr:nvCxnSpPr>
        <xdr:cNvPr id="496" name="Conector recto 495">
          <a:extLst>
            <a:ext uri="{FF2B5EF4-FFF2-40B4-BE49-F238E27FC236}">
              <a16:creationId xmlns:a16="http://schemas.microsoft.com/office/drawing/2014/main" id="{D95105D6-FD66-41EC-B2E6-7A7688C94DB9}"/>
            </a:ext>
          </a:extLst>
        </xdr:cNvPr>
        <xdr:cNvCxnSpPr/>
      </xdr:nvCxnSpPr>
      <xdr:spPr>
        <a:xfrm flipV="1">
          <a:off x="2472219" y="95447992"/>
          <a:ext cx="305014" cy="7277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230099</xdr:colOff>
      <xdr:row>514</xdr:row>
      <xdr:rowOff>53511</xdr:rowOff>
    </xdr:from>
    <xdr:to>
      <xdr:col>9</xdr:col>
      <xdr:colOff>214045</xdr:colOff>
      <xdr:row>514</xdr:row>
      <xdr:rowOff>64213</xdr:rowOff>
    </xdr:to>
    <xdr:cxnSp macro="">
      <xdr:nvCxnSpPr>
        <xdr:cNvPr id="498" name="Conector recto de flecha 497">
          <a:extLst>
            <a:ext uri="{FF2B5EF4-FFF2-40B4-BE49-F238E27FC236}">
              <a16:creationId xmlns:a16="http://schemas.microsoft.com/office/drawing/2014/main" id="{23E116CF-2308-41C2-8994-E17CB2BC82E3}"/>
            </a:ext>
          </a:extLst>
        </xdr:cNvPr>
        <xdr:cNvCxnSpPr/>
      </xdr:nvCxnSpPr>
      <xdr:spPr>
        <a:xfrm flipV="1">
          <a:off x="2884256" y="96421896"/>
          <a:ext cx="315716" cy="1070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240800</xdr:colOff>
      <xdr:row>509</xdr:row>
      <xdr:rowOff>21405</xdr:rowOff>
    </xdr:from>
    <xdr:to>
      <xdr:col>5</xdr:col>
      <xdr:colOff>187286</xdr:colOff>
      <xdr:row>516</xdr:row>
      <xdr:rowOff>5351</xdr:rowOff>
    </xdr:to>
    <xdr:sp macro="" textlink="">
      <xdr:nvSpPr>
        <xdr:cNvPr id="501" name="Triángulo rectángulo 500">
          <a:extLst>
            <a:ext uri="{FF2B5EF4-FFF2-40B4-BE49-F238E27FC236}">
              <a16:creationId xmlns:a16="http://schemas.microsoft.com/office/drawing/2014/main" id="{49A26813-DAFD-48E0-8222-B886CB1BF07F}"/>
            </a:ext>
          </a:extLst>
        </xdr:cNvPr>
        <xdr:cNvSpPr/>
      </xdr:nvSpPr>
      <xdr:spPr>
        <a:xfrm flipH="1">
          <a:off x="904339" y="95619228"/>
          <a:ext cx="941795" cy="1332429"/>
        </a:xfrm>
        <a:prstGeom prst="rtTriangl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240800</xdr:colOff>
      <xdr:row>516</xdr:row>
      <xdr:rowOff>5351</xdr:rowOff>
    </xdr:from>
    <xdr:to>
      <xdr:col>5</xdr:col>
      <xdr:colOff>187286</xdr:colOff>
      <xdr:row>516</xdr:row>
      <xdr:rowOff>5351</xdr:rowOff>
    </xdr:to>
    <xdr:cxnSp macro="">
      <xdr:nvCxnSpPr>
        <xdr:cNvPr id="503" name="Conector recto de flecha 502">
          <a:extLst>
            <a:ext uri="{FF2B5EF4-FFF2-40B4-BE49-F238E27FC236}">
              <a16:creationId xmlns:a16="http://schemas.microsoft.com/office/drawing/2014/main" id="{EA8A99C7-074F-4CD5-9951-0FC257A1FDD9}"/>
            </a:ext>
          </a:extLst>
        </xdr:cNvPr>
        <xdr:cNvCxnSpPr>
          <a:stCxn id="501" idx="4"/>
          <a:endCxn id="501" idx="2"/>
        </xdr:cNvCxnSpPr>
      </xdr:nvCxnSpPr>
      <xdr:spPr>
        <a:xfrm>
          <a:off x="904339" y="96951657"/>
          <a:ext cx="94179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315717</xdr:colOff>
      <xdr:row>515</xdr:row>
      <xdr:rowOff>64214</xdr:rowOff>
    </xdr:from>
    <xdr:to>
      <xdr:col>5</xdr:col>
      <xdr:colOff>195207</xdr:colOff>
      <xdr:row>515</xdr:row>
      <xdr:rowOff>72134</xdr:rowOff>
    </xdr:to>
    <xdr:cxnSp macro="">
      <xdr:nvCxnSpPr>
        <xdr:cNvPr id="504" name="Conector recto de flecha 503">
          <a:extLst>
            <a:ext uri="{FF2B5EF4-FFF2-40B4-BE49-F238E27FC236}">
              <a16:creationId xmlns:a16="http://schemas.microsoft.com/office/drawing/2014/main" id="{F017FCB3-58B0-4DE0-93D1-CD6E1EC42528}"/>
            </a:ext>
          </a:extLst>
        </xdr:cNvPr>
        <xdr:cNvCxnSpPr/>
      </xdr:nvCxnSpPr>
      <xdr:spPr>
        <a:xfrm>
          <a:off x="979256" y="96625239"/>
          <a:ext cx="874799" cy="79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88187</xdr:colOff>
      <xdr:row>514</xdr:row>
      <xdr:rowOff>141697</xdr:rowOff>
    </xdr:from>
    <xdr:to>
      <xdr:col>5</xdr:col>
      <xdr:colOff>187290</xdr:colOff>
      <xdr:row>514</xdr:row>
      <xdr:rowOff>144480</xdr:rowOff>
    </xdr:to>
    <xdr:cxnSp macro="">
      <xdr:nvCxnSpPr>
        <xdr:cNvPr id="507" name="Conector recto de flecha 506">
          <a:extLst>
            <a:ext uri="{FF2B5EF4-FFF2-40B4-BE49-F238E27FC236}">
              <a16:creationId xmlns:a16="http://schemas.microsoft.com/office/drawing/2014/main" id="{06F814CF-0B25-4FE1-8F58-CF30D6F07B75}"/>
            </a:ext>
          </a:extLst>
        </xdr:cNvPr>
        <xdr:cNvCxnSpPr/>
      </xdr:nvCxnSpPr>
      <xdr:spPr>
        <a:xfrm>
          <a:off x="1083496" y="96510082"/>
          <a:ext cx="762642" cy="278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171023</xdr:colOff>
      <xdr:row>514</xdr:row>
      <xdr:rowOff>26541</xdr:rowOff>
    </xdr:from>
    <xdr:to>
      <xdr:col>5</xdr:col>
      <xdr:colOff>197992</xdr:colOff>
      <xdr:row>514</xdr:row>
      <xdr:rowOff>32107</xdr:rowOff>
    </xdr:to>
    <xdr:cxnSp macro="">
      <xdr:nvCxnSpPr>
        <xdr:cNvPr id="509" name="Conector recto de flecha 508">
          <a:extLst>
            <a:ext uri="{FF2B5EF4-FFF2-40B4-BE49-F238E27FC236}">
              <a16:creationId xmlns:a16="http://schemas.microsoft.com/office/drawing/2014/main" id="{B2133F6E-FB0D-4283-BD05-CA6924A8FBE4}"/>
            </a:ext>
          </a:extLst>
        </xdr:cNvPr>
        <xdr:cNvCxnSpPr/>
      </xdr:nvCxnSpPr>
      <xdr:spPr>
        <a:xfrm>
          <a:off x="1166332" y="96394926"/>
          <a:ext cx="690508" cy="55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264774</xdr:colOff>
      <xdr:row>515</xdr:row>
      <xdr:rowOff>163102</xdr:rowOff>
    </xdr:from>
    <xdr:to>
      <xdr:col>6</xdr:col>
      <xdr:colOff>144264</xdr:colOff>
      <xdr:row>515</xdr:row>
      <xdr:rowOff>171022</xdr:rowOff>
    </xdr:to>
    <xdr:cxnSp macro="">
      <xdr:nvCxnSpPr>
        <xdr:cNvPr id="511" name="Conector recto de flecha 510">
          <a:extLst>
            <a:ext uri="{FF2B5EF4-FFF2-40B4-BE49-F238E27FC236}">
              <a16:creationId xmlns:a16="http://schemas.microsoft.com/office/drawing/2014/main" id="{ABDA3EFD-9332-4E96-9D7A-AC37F25718E7}"/>
            </a:ext>
          </a:extLst>
        </xdr:cNvPr>
        <xdr:cNvCxnSpPr/>
      </xdr:nvCxnSpPr>
      <xdr:spPr>
        <a:xfrm>
          <a:off x="1260083" y="96724127"/>
          <a:ext cx="874799" cy="792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45378</xdr:colOff>
      <xdr:row>514</xdr:row>
      <xdr:rowOff>173804</xdr:rowOff>
    </xdr:from>
    <xdr:to>
      <xdr:col>2</xdr:col>
      <xdr:colOff>53512</xdr:colOff>
      <xdr:row>516</xdr:row>
      <xdr:rowOff>10702</xdr:rowOff>
    </xdr:to>
    <xdr:cxnSp macro="">
      <xdr:nvCxnSpPr>
        <xdr:cNvPr id="512" name="Conector recto de flecha 511">
          <a:extLst>
            <a:ext uri="{FF2B5EF4-FFF2-40B4-BE49-F238E27FC236}">
              <a16:creationId xmlns:a16="http://schemas.microsoft.com/office/drawing/2014/main" id="{4738B529-82C3-48C2-9755-D2B4299498A4}"/>
            </a:ext>
          </a:extLst>
        </xdr:cNvPr>
        <xdr:cNvCxnSpPr/>
      </xdr:nvCxnSpPr>
      <xdr:spPr>
        <a:xfrm>
          <a:off x="708917" y="96542189"/>
          <a:ext cx="8134" cy="22217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42809</xdr:colOff>
      <xdr:row>511</xdr:row>
      <xdr:rowOff>187290</xdr:rowOff>
    </xdr:from>
    <xdr:to>
      <xdr:col>2</xdr:col>
      <xdr:colOff>45378</xdr:colOff>
      <xdr:row>514</xdr:row>
      <xdr:rowOff>179155</xdr:rowOff>
    </xdr:to>
    <xdr:cxnSp macro="">
      <xdr:nvCxnSpPr>
        <xdr:cNvPr id="515" name="Conector recto de flecha 514">
          <a:extLst>
            <a:ext uri="{FF2B5EF4-FFF2-40B4-BE49-F238E27FC236}">
              <a16:creationId xmlns:a16="http://schemas.microsoft.com/office/drawing/2014/main" id="{F50BA5E4-BFF2-4393-8378-0B00B8720F65}"/>
            </a:ext>
          </a:extLst>
        </xdr:cNvPr>
        <xdr:cNvCxnSpPr/>
      </xdr:nvCxnSpPr>
      <xdr:spPr>
        <a:xfrm>
          <a:off x="706348" y="95977753"/>
          <a:ext cx="2569" cy="5697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48160</xdr:colOff>
      <xdr:row>509</xdr:row>
      <xdr:rowOff>5351</xdr:rowOff>
    </xdr:from>
    <xdr:to>
      <xdr:col>2</xdr:col>
      <xdr:colOff>50729</xdr:colOff>
      <xdr:row>511</xdr:row>
      <xdr:rowOff>189856</xdr:rowOff>
    </xdr:to>
    <xdr:cxnSp macro="">
      <xdr:nvCxnSpPr>
        <xdr:cNvPr id="518" name="Conector recto de flecha 517">
          <a:extLst>
            <a:ext uri="{FF2B5EF4-FFF2-40B4-BE49-F238E27FC236}">
              <a16:creationId xmlns:a16="http://schemas.microsoft.com/office/drawing/2014/main" id="{E8821474-07D4-42A4-B8CF-79A6366B8817}"/>
            </a:ext>
          </a:extLst>
        </xdr:cNvPr>
        <xdr:cNvCxnSpPr/>
      </xdr:nvCxnSpPr>
      <xdr:spPr>
        <a:xfrm>
          <a:off x="711699" y="95603174"/>
          <a:ext cx="2569" cy="56978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278257</xdr:colOff>
      <xdr:row>509</xdr:row>
      <xdr:rowOff>157203</xdr:rowOff>
    </xdr:from>
    <xdr:to>
      <xdr:col>23</xdr:col>
      <xdr:colOff>110773</xdr:colOff>
      <xdr:row>522</xdr:row>
      <xdr:rowOff>64210</xdr:rowOff>
    </xdr:to>
    <xdr:pic>
      <xdr:nvPicPr>
        <xdr:cNvPr id="524" name="Imagen 523">
          <a:extLst>
            <a:ext uri="{FF2B5EF4-FFF2-40B4-BE49-F238E27FC236}">
              <a16:creationId xmlns:a16="http://schemas.microsoft.com/office/drawing/2014/main" id="{575C0662-E38B-42B2-ACAD-4CB935895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23032" y="95974422"/>
          <a:ext cx="2818444" cy="2411335"/>
        </a:xfrm>
        <a:prstGeom prst="rect">
          <a:avLst/>
        </a:prstGeom>
        <a:ln w="12700">
          <a:solidFill>
            <a:schemeClr val="accent2"/>
          </a:solidFill>
        </a:ln>
      </xdr:spPr>
    </xdr:pic>
    <xdr:clientData/>
  </xdr:twoCellAnchor>
  <xdr:twoCellAnchor>
    <xdr:from>
      <xdr:col>19</xdr:col>
      <xdr:colOff>168852</xdr:colOff>
      <xdr:row>512</xdr:row>
      <xdr:rowOff>129886</xdr:rowOff>
    </xdr:from>
    <xdr:to>
      <xdr:col>19</xdr:col>
      <xdr:colOff>177511</xdr:colOff>
      <xdr:row>520</xdr:row>
      <xdr:rowOff>108239</xdr:rowOff>
    </xdr:to>
    <xdr:cxnSp macro="">
      <xdr:nvCxnSpPr>
        <xdr:cNvPr id="526" name="Conector recto 525">
          <a:extLst>
            <a:ext uri="{FF2B5EF4-FFF2-40B4-BE49-F238E27FC236}">
              <a16:creationId xmlns:a16="http://schemas.microsoft.com/office/drawing/2014/main" id="{A27AEE1E-BCF2-4525-8FE6-9EA8F3A18795}"/>
            </a:ext>
          </a:extLst>
        </xdr:cNvPr>
        <xdr:cNvCxnSpPr/>
      </xdr:nvCxnSpPr>
      <xdr:spPr>
        <a:xfrm flipH="1" flipV="1">
          <a:off x="6502977" y="95379886"/>
          <a:ext cx="8659" cy="1502353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112568</xdr:colOff>
      <xdr:row>513</xdr:row>
      <xdr:rowOff>25977</xdr:rowOff>
    </xdr:from>
    <xdr:to>
      <xdr:col>19</xdr:col>
      <xdr:colOff>168852</xdr:colOff>
      <xdr:row>513</xdr:row>
      <xdr:rowOff>34636</xdr:rowOff>
    </xdr:to>
    <xdr:cxnSp macro="">
      <xdr:nvCxnSpPr>
        <xdr:cNvPr id="530" name="Conector recto 529">
          <a:extLst>
            <a:ext uri="{FF2B5EF4-FFF2-40B4-BE49-F238E27FC236}">
              <a16:creationId xmlns:a16="http://schemas.microsoft.com/office/drawing/2014/main" id="{35F6D2B9-AFDD-4259-ADEF-F7EBADEB4C63}"/>
            </a:ext>
          </a:extLst>
        </xdr:cNvPr>
        <xdr:cNvCxnSpPr/>
      </xdr:nvCxnSpPr>
      <xdr:spPr>
        <a:xfrm flipH="1">
          <a:off x="5446568" y="95466477"/>
          <a:ext cx="1056409" cy="8659"/>
        </a:xfrm>
        <a:prstGeom prst="line">
          <a:avLst/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185410</xdr:colOff>
      <xdr:row>511</xdr:row>
      <xdr:rowOff>109065</xdr:rowOff>
    </xdr:from>
    <xdr:to>
      <xdr:col>18</xdr:col>
      <xdr:colOff>283568</xdr:colOff>
      <xdr:row>511</xdr:row>
      <xdr:rowOff>154784</xdr:rowOff>
    </xdr:to>
    <xdr:sp macro="" textlink="">
      <xdr:nvSpPr>
        <xdr:cNvPr id="532" name="Rectángulo 531">
          <a:extLst>
            <a:ext uri="{FF2B5EF4-FFF2-40B4-BE49-F238E27FC236}">
              <a16:creationId xmlns:a16="http://schemas.microsoft.com/office/drawing/2014/main" id="{A231BED8-2B7E-4AC6-9AEA-4F08485CDA80}"/>
            </a:ext>
          </a:extLst>
        </xdr:cNvPr>
        <xdr:cNvSpPr/>
      </xdr:nvSpPr>
      <xdr:spPr>
        <a:xfrm>
          <a:off x="6234876" y="94722853"/>
          <a:ext cx="98158" cy="45719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12</xdr:col>
      <xdr:colOff>177956</xdr:colOff>
      <xdr:row>527</xdr:row>
      <xdr:rowOff>48457</xdr:rowOff>
    </xdr:from>
    <xdr:to>
      <xdr:col>21</xdr:col>
      <xdr:colOff>262177</xdr:colOff>
      <xdr:row>534</xdr:row>
      <xdr:rowOff>15959</xdr:rowOff>
    </xdr:to>
    <xdr:pic>
      <xdr:nvPicPr>
        <xdr:cNvPr id="533" name="Imagen 532">
          <a:extLst>
            <a:ext uri="{FF2B5EF4-FFF2-40B4-BE49-F238E27FC236}">
              <a16:creationId xmlns:a16="http://schemas.microsoft.com/office/drawing/2014/main" id="{2672A6E9-06B2-4C2E-BA92-C071D13FD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78456" y="98356483"/>
          <a:ext cx="3062037" cy="1301003"/>
        </a:xfrm>
        <a:prstGeom prst="rect">
          <a:avLst/>
        </a:prstGeom>
        <a:ln w="28575">
          <a:solidFill>
            <a:schemeClr val="bg2">
              <a:lumMod val="50000"/>
            </a:schemeClr>
          </a:solidFill>
        </a:ln>
      </xdr:spPr>
    </xdr:pic>
    <xdr:clientData/>
  </xdr:twoCellAnchor>
  <xdr:twoCellAnchor>
    <xdr:from>
      <xdr:col>19</xdr:col>
      <xdr:colOff>210552</xdr:colOff>
      <xdr:row>533</xdr:row>
      <xdr:rowOff>84460</xdr:rowOff>
    </xdr:from>
    <xdr:to>
      <xdr:col>20</xdr:col>
      <xdr:colOff>240631</xdr:colOff>
      <xdr:row>533</xdr:row>
      <xdr:rowOff>160422</xdr:rowOff>
    </xdr:to>
    <xdr:sp macro="" textlink="">
      <xdr:nvSpPr>
        <xdr:cNvPr id="534" name="Rectángulo 533">
          <a:extLst>
            <a:ext uri="{FF2B5EF4-FFF2-40B4-BE49-F238E27FC236}">
              <a16:creationId xmlns:a16="http://schemas.microsoft.com/office/drawing/2014/main" id="{96F3231E-08D8-404E-9207-E613D529A492}"/>
            </a:ext>
          </a:extLst>
        </xdr:cNvPr>
        <xdr:cNvSpPr/>
      </xdr:nvSpPr>
      <xdr:spPr>
        <a:xfrm>
          <a:off x="6527131" y="99535486"/>
          <a:ext cx="360947" cy="75962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170447</xdr:colOff>
      <xdr:row>518</xdr:row>
      <xdr:rowOff>47625</xdr:rowOff>
    </xdr:from>
    <xdr:to>
      <xdr:col>14</xdr:col>
      <xdr:colOff>110289</xdr:colOff>
      <xdr:row>519</xdr:row>
      <xdr:rowOff>160422</xdr:rowOff>
    </xdr:to>
    <xdr:sp macro="" textlink="">
      <xdr:nvSpPr>
        <xdr:cNvPr id="535" name="Flecha: a la derecha 534">
          <a:extLst>
            <a:ext uri="{FF2B5EF4-FFF2-40B4-BE49-F238E27FC236}">
              <a16:creationId xmlns:a16="http://schemas.microsoft.com/office/drawing/2014/main" id="{3D7E6DEF-F3F9-4886-8F57-AEA953D0B0D9}"/>
            </a:ext>
          </a:extLst>
        </xdr:cNvPr>
        <xdr:cNvSpPr/>
      </xdr:nvSpPr>
      <xdr:spPr>
        <a:xfrm>
          <a:off x="4297947" y="92384563"/>
          <a:ext cx="622467" cy="295359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192505</xdr:colOff>
      <xdr:row>529</xdr:row>
      <xdr:rowOff>31750</xdr:rowOff>
    </xdr:from>
    <xdr:to>
      <xdr:col>12</xdr:col>
      <xdr:colOff>30079</xdr:colOff>
      <xdr:row>530</xdr:row>
      <xdr:rowOff>170448</xdr:rowOff>
    </xdr:to>
    <xdr:sp macro="" textlink="">
      <xdr:nvSpPr>
        <xdr:cNvPr id="536" name="Flecha: a la derecha 535">
          <a:extLst>
            <a:ext uri="{FF2B5EF4-FFF2-40B4-BE49-F238E27FC236}">
              <a16:creationId xmlns:a16="http://schemas.microsoft.com/office/drawing/2014/main" id="{F1DD4800-F788-447F-923F-0AB5CCF0FF95}"/>
            </a:ext>
          </a:extLst>
        </xdr:cNvPr>
        <xdr:cNvSpPr/>
      </xdr:nvSpPr>
      <xdr:spPr>
        <a:xfrm>
          <a:off x="3296068" y="94376875"/>
          <a:ext cx="861511" cy="321261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18</xdr:col>
      <xdr:colOff>229456</xdr:colOff>
      <xdr:row>33</xdr:row>
      <xdr:rowOff>135160</xdr:rowOff>
    </xdr:from>
    <xdr:to>
      <xdr:col>28</xdr:col>
      <xdr:colOff>135130</xdr:colOff>
      <xdr:row>41</xdr:row>
      <xdr:rowOff>55876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6F544C-29F4-4189-B423-B5173DDD0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21487" y="5790629"/>
          <a:ext cx="3279112" cy="1488372"/>
        </a:xfrm>
        <a:prstGeom prst="rect">
          <a:avLst/>
        </a:prstGeom>
        <a:ln w="28575">
          <a:solidFill>
            <a:srgbClr val="FFC000"/>
          </a:solidFill>
        </a:ln>
      </xdr:spPr>
    </xdr:pic>
    <xdr:clientData/>
  </xdr:twoCellAnchor>
  <xdr:twoCellAnchor editAs="oneCell">
    <xdr:from>
      <xdr:col>21</xdr:col>
      <xdr:colOff>290762</xdr:colOff>
      <xdr:row>337</xdr:row>
      <xdr:rowOff>50131</xdr:rowOff>
    </xdr:from>
    <xdr:to>
      <xdr:col>33</xdr:col>
      <xdr:colOff>248578</xdr:colOff>
      <xdr:row>343</xdr:row>
      <xdr:rowOff>35723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51E0CD-B92B-4431-B210-E18CB2022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269078" y="61912499"/>
          <a:ext cx="3928237" cy="1138619"/>
        </a:xfrm>
        <a:prstGeom prst="rect">
          <a:avLst/>
        </a:prstGeom>
        <a:ln w="28575">
          <a:solidFill>
            <a:srgbClr val="FFC000"/>
          </a:solidFill>
        </a:ln>
      </xdr:spPr>
    </xdr:pic>
    <xdr:clientData/>
  </xdr:twoCellAnchor>
  <xdr:twoCellAnchor>
    <xdr:from>
      <xdr:col>10</xdr:col>
      <xdr:colOff>182980</xdr:colOff>
      <xdr:row>340</xdr:row>
      <xdr:rowOff>104858</xdr:rowOff>
    </xdr:from>
    <xdr:to>
      <xdr:col>20</xdr:col>
      <xdr:colOff>323767</xdr:colOff>
      <xdr:row>342</xdr:row>
      <xdr:rowOff>79374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DBC006CA-D4BE-4F34-8E23-A139CAFF8903}"/>
            </a:ext>
          </a:extLst>
        </xdr:cNvPr>
        <xdr:cNvSpPr/>
      </xdr:nvSpPr>
      <xdr:spPr>
        <a:xfrm>
          <a:off x="3627855" y="59755171"/>
          <a:ext cx="3553912" cy="355516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14</xdr:col>
      <xdr:colOff>317716</xdr:colOff>
      <xdr:row>5</xdr:row>
      <xdr:rowOff>39912</xdr:rowOff>
    </xdr:from>
    <xdr:to>
      <xdr:col>21</xdr:col>
      <xdr:colOff>209550</xdr:colOff>
      <xdr:row>19</xdr:row>
      <xdr:rowOff>142875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D16DA0-9DBC-4E79-A17F-22714EB27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6891" y="920975"/>
          <a:ext cx="2292134" cy="2498500"/>
        </a:xfrm>
        <a:prstGeom prst="rect">
          <a:avLst/>
        </a:prstGeom>
        <a:ln w="38100" cap="sq">
          <a:solidFill>
            <a:srgbClr val="FFC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15</xdr:col>
      <xdr:colOff>38100</xdr:colOff>
      <xdr:row>7</xdr:row>
      <xdr:rowOff>28574</xdr:rowOff>
    </xdr:from>
    <xdr:to>
      <xdr:col>16</xdr:col>
      <xdr:colOff>295276</xdr:colOff>
      <xdr:row>8</xdr:row>
      <xdr:rowOff>100012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42C02D2A-50EB-9964-9562-4FEDBCD3035D}"/>
            </a:ext>
          </a:extLst>
        </xdr:cNvPr>
        <xdr:cNvSpPr/>
      </xdr:nvSpPr>
      <xdr:spPr>
        <a:xfrm>
          <a:off x="5210175" y="1271587"/>
          <a:ext cx="600076" cy="2524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>
              <a:solidFill>
                <a:sysClr val="windowText" lastClr="000000"/>
              </a:solidFill>
            </a:rPr>
            <a:t>CAJUELA</a:t>
          </a:r>
        </a:p>
      </xdr:txBody>
    </xdr:sp>
    <xdr:clientData/>
  </xdr:twoCellAnchor>
  <xdr:twoCellAnchor>
    <xdr:from>
      <xdr:col>16</xdr:col>
      <xdr:colOff>295276</xdr:colOff>
      <xdr:row>7</xdr:row>
      <xdr:rowOff>154781</xdr:rowOff>
    </xdr:from>
    <xdr:to>
      <xdr:col>17</xdr:col>
      <xdr:colOff>242888</xdr:colOff>
      <xdr:row>9</xdr:row>
      <xdr:rowOff>85725</xdr:rowOff>
    </xdr:to>
    <xdr:cxnSp macro="">
      <xdr:nvCxnSpPr>
        <xdr:cNvPr id="17" name="Conector: angular 16">
          <a:extLst>
            <a:ext uri="{FF2B5EF4-FFF2-40B4-BE49-F238E27FC236}">
              <a16:creationId xmlns:a16="http://schemas.microsoft.com/office/drawing/2014/main" id="{2C6A6796-FE15-04AD-21FC-4AD51C522A96}"/>
            </a:ext>
          </a:extLst>
        </xdr:cNvPr>
        <xdr:cNvCxnSpPr>
          <a:stCxn id="13" idx="3"/>
        </xdr:cNvCxnSpPr>
      </xdr:nvCxnSpPr>
      <xdr:spPr>
        <a:xfrm>
          <a:off x="5810251" y="1397794"/>
          <a:ext cx="290512" cy="302419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241516</xdr:colOff>
      <xdr:row>5</xdr:row>
      <xdr:rowOff>73250</xdr:rowOff>
    </xdr:from>
    <xdr:to>
      <xdr:col>21</xdr:col>
      <xdr:colOff>155792</xdr:colOff>
      <xdr:row>6</xdr:row>
      <xdr:rowOff>144688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1289CCD1-F934-42D8-9159-CE10B418EF92}"/>
            </a:ext>
          </a:extLst>
        </xdr:cNvPr>
        <xdr:cNvSpPr/>
      </xdr:nvSpPr>
      <xdr:spPr>
        <a:xfrm>
          <a:off x="6785191" y="954313"/>
          <a:ext cx="600076" cy="2524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>
              <a:solidFill>
                <a:sysClr val="windowText" lastClr="000000"/>
              </a:solidFill>
            </a:rPr>
            <a:t>CORONA</a:t>
          </a:r>
        </a:p>
      </xdr:txBody>
    </xdr:sp>
    <xdr:clientData/>
  </xdr:twoCellAnchor>
  <xdr:twoCellAnchor>
    <xdr:from>
      <xdr:col>18</xdr:col>
      <xdr:colOff>52388</xdr:colOff>
      <xdr:row>6</xdr:row>
      <xdr:rowOff>18482</xdr:rowOff>
    </xdr:from>
    <xdr:to>
      <xdr:col>19</xdr:col>
      <xdr:colOff>241517</xdr:colOff>
      <xdr:row>8</xdr:row>
      <xdr:rowOff>61910</xdr:rowOff>
    </xdr:to>
    <xdr:cxnSp macro="">
      <xdr:nvCxnSpPr>
        <xdr:cNvPr id="28" name="Conector: angular 27">
          <a:extLst>
            <a:ext uri="{FF2B5EF4-FFF2-40B4-BE49-F238E27FC236}">
              <a16:creationId xmlns:a16="http://schemas.microsoft.com/office/drawing/2014/main" id="{DFAE6579-6F57-4019-9ADF-83CE517D9043}"/>
            </a:ext>
          </a:extLst>
        </xdr:cNvPr>
        <xdr:cNvCxnSpPr>
          <a:stCxn id="27" idx="1"/>
        </xdr:cNvCxnSpPr>
      </xdr:nvCxnSpPr>
      <xdr:spPr>
        <a:xfrm rot="10800000" flipV="1">
          <a:off x="6253163" y="1080520"/>
          <a:ext cx="532029" cy="405378"/>
        </a:xfrm>
        <a:prstGeom prst="bentConnector3">
          <a:avLst>
            <a:gd name="adj1" fmla="val 100129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19</xdr:row>
      <xdr:rowOff>120874</xdr:rowOff>
    </xdr:from>
    <xdr:to>
      <xdr:col>21</xdr:col>
      <xdr:colOff>89117</xdr:colOff>
      <xdr:row>23</xdr:row>
      <xdr:rowOff>11337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CDACBD15-3CC2-42C1-A86A-7E5101A30869}"/>
            </a:ext>
          </a:extLst>
        </xdr:cNvPr>
        <xdr:cNvSpPr/>
      </xdr:nvSpPr>
      <xdr:spPr>
        <a:xfrm>
          <a:off x="6429375" y="3578449"/>
          <a:ext cx="889217" cy="2524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>
              <a:solidFill>
                <a:sysClr val="windowText" lastClr="000000"/>
              </a:solidFill>
            </a:rPr>
            <a:t>CIMENTACIÓN</a:t>
          </a:r>
        </a:p>
      </xdr:txBody>
    </xdr:sp>
    <xdr:clientData/>
  </xdr:twoCellAnchor>
  <xdr:twoCellAnchor>
    <xdr:from>
      <xdr:col>17</xdr:col>
      <xdr:colOff>71438</xdr:colOff>
      <xdr:row>17</xdr:row>
      <xdr:rowOff>61912</xdr:rowOff>
    </xdr:from>
    <xdr:to>
      <xdr:col>18</xdr:col>
      <xdr:colOff>228600</xdr:colOff>
      <xdr:row>20</xdr:row>
      <xdr:rowOff>66106</xdr:rowOff>
    </xdr:to>
    <xdr:cxnSp macro="">
      <xdr:nvCxnSpPr>
        <xdr:cNvPr id="41" name="Conector: angular 40">
          <a:extLst>
            <a:ext uri="{FF2B5EF4-FFF2-40B4-BE49-F238E27FC236}">
              <a16:creationId xmlns:a16="http://schemas.microsoft.com/office/drawing/2014/main" id="{356529B9-2D9B-43B9-91CE-E89BF0AEC406}"/>
            </a:ext>
          </a:extLst>
        </xdr:cNvPr>
        <xdr:cNvCxnSpPr>
          <a:stCxn id="37" idx="1"/>
        </xdr:cNvCxnSpPr>
      </xdr:nvCxnSpPr>
      <xdr:spPr>
        <a:xfrm rot="10800000">
          <a:off x="5929313" y="3028950"/>
          <a:ext cx="500062" cy="675706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338138</xdr:colOff>
      <xdr:row>10</xdr:row>
      <xdr:rowOff>158974</xdr:rowOff>
    </xdr:from>
    <xdr:to>
      <xdr:col>16</xdr:col>
      <xdr:colOff>21072</xdr:colOff>
      <xdr:row>12</xdr:row>
      <xdr:rowOff>130400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C44AC21B-569D-47C6-8C38-217D50467398}"/>
            </a:ext>
          </a:extLst>
        </xdr:cNvPr>
        <xdr:cNvSpPr/>
      </xdr:nvSpPr>
      <xdr:spPr>
        <a:xfrm>
          <a:off x="4824413" y="1954437"/>
          <a:ext cx="711634" cy="2524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>
              <a:solidFill>
                <a:sysClr val="windowText" lastClr="000000"/>
              </a:solidFill>
            </a:rPr>
            <a:t>PANTALLA</a:t>
          </a:r>
        </a:p>
      </xdr:txBody>
    </xdr:sp>
    <xdr:clientData/>
  </xdr:twoCellAnchor>
  <xdr:twoCellAnchor>
    <xdr:from>
      <xdr:col>16</xdr:col>
      <xdr:colOff>28575</xdr:colOff>
      <xdr:row>11</xdr:row>
      <xdr:rowOff>4762</xdr:rowOff>
    </xdr:from>
    <xdr:to>
      <xdr:col>17</xdr:col>
      <xdr:colOff>38100</xdr:colOff>
      <xdr:row>12</xdr:row>
      <xdr:rowOff>28575</xdr:rowOff>
    </xdr:to>
    <xdr:cxnSp macro="">
      <xdr:nvCxnSpPr>
        <xdr:cNvPr id="59" name="Conector: angular 58">
          <a:extLst>
            <a:ext uri="{FF2B5EF4-FFF2-40B4-BE49-F238E27FC236}">
              <a16:creationId xmlns:a16="http://schemas.microsoft.com/office/drawing/2014/main" id="{5AB685F4-E577-467A-8C10-F3E2F25FFF1B}"/>
            </a:ext>
          </a:extLst>
        </xdr:cNvPr>
        <xdr:cNvCxnSpPr/>
      </xdr:nvCxnSpPr>
      <xdr:spPr>
        <a:xfrm flipV="1">
          <a:off x="5543550" y="1981200"/>
          <a:ext cx="352425" cy="123825"/>
        </a:xfrm>
        <a:prstGeom prst="bentConnector3">
          <a:avLst>
            <a:gd name="adj1" fmla="val 50000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266701</xdr:colOff>
      <xdr:row>12</xdr:row>
      <xdr:rowOff>138112</xdr:rowOff>
    </xdr:from>
    <xdr:to>
      <xdr:col>21</xdr:col>
      <xdr:colOff>133351</xdr:colOff>
      <xdr:row>14</xdr:row>
      <xdr:rowOff>42862</xdr:rowOff>
    </xdr:to>
    <xdr:sp macro="" textlink="">
      <xdr:nvSpPr>
        <xdr:cNvPr id="450" name="Rectángulo 449">
          <a:extLst>
            <a:ext uri="{FF2B5EF4-FFF2-40B4-BE49-F238E27FC236}">
              <a16:creationId xmlns:a16="http://schemas.microsoft.com/office/drawing/2014/main" id="{97A57565-5B45-48A6-9F71-F7FE6F8F2634}"/>
            </a:ext>
          </a:extLst>
        </xdr:cNvPr>
        <xdr:cNvSpPr/>
      </xdr:nvSpPr>
      <xdr:spPr>
        <a:xfrm>
          <a:off x="6810376" y="2214562"/>
          <a:ext cx="552450" cy="2524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>
              <a:solidFill>
                <a:sysClr val="windowText" lastClr="000000"/>
              </a:solidFill>
            </a:rPr>
            <a:t>TALON</a:t>
          </a:r>
        </a:p>
      </xdr:txBody>
    </xdr:sp>
    <xdr:clientData/>
  </xdr:twoCellAnchor>
  <xdr:twoCellAnchor>
    <xdr:from>
      <xdr:col>18</xdr:col>
      <xdr:colOff>228601</xdr:colOff>
      <xdr:row>13</xdr:row>
      <xdr:rowOff>83344</xdr:rowOff>
    </xdr:from>
    <xdr:to>
      <xdr:col>19</xdr:col>
      <xdr:colOff>266702</xdr:colOff>
      <xdr:row>16</xdr:row>
      <xdr:rowOff>42862</xdr:rowOff>
    </xdr:to>
    <xdr:cxnSp macro="">
      <xdr:nvCxnSpPr>
        <xdr:cNvPr id="451" name="Conector: angular 450">
          <a:extLst>
            <a:ext uri="{FF2B5EF4-FFF2-40B4-BE49-F238E27FC236}">
              <a16:creationId xmlns:a16="http://schemas.microsoft.com/office/drawing/2014/main" id="{49F5D88F-CE74-4B9A-91CB-39DAFB0FFCA2}"/>
            </a:ext>
          </a:extLst>
        </xdr:cNvPr>
        <xdr:cNvCxnSpPr>
          <a:stCxn id="450" idx="1"/>
        </xdr:cNvCxnSpPr>
      </xdr:nvCxnSpPr>
      <xdr:spPr>
        <a:xfrm rot="10800000" flipV="1">
          <a:off x="6429376" y="2340769"/>
          <a:ext cx="381001" cy="488156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170077</xdr:colOff>
      <xdr:row>18</xdr:row>
      <xdr:rowOff>0</xdr:rowOff>
    </xdr:from>
    <xdr:to>
      <xdr:col>16</xdr:col>
      <xdr:colOff>36727</xdr:colOff>
      <xdr:row>19</xdr:row>
      <xdr:rowOff>85725</xdr:rowOff>
    </xdr:to>
    <xdr:sp macro="" textlink="">
      <xdr:nvSpPr>
        <xdr:cNvPr id="475" name="Rectángulo 474">
          <a:extLst>
            <a:ext uri="{FF2B5EF4-FFF2-40B4-BE49-F238E27FC236}">
              <a16:creationId xmlns:a16="http://schemas.microsoft.com/office/drawing/2014/main" id="{4D96963C-4F4C-40E3-B8D9-FACDAF1B5828}"/>
            </a:ext>
          </a:extLst>
        </xdr:cNvPr>
        <xdr:cNvSpPr/>
      </xdr:nvSpPr>
      <xdr:spPr>
        <a:xfrm>
          <a:off x="4999252" y="3148013"/>
          <a:ext cx="552450" cy="21431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>
              <a:solidFill>
                <a:sysClr val="windowText" lastClr="000000"/>
              </a:solidFill>
            </a:rPr>
            <a:t>PUNTA</a:t>
          </a:r>
        </a:p>
      </xdr:txBody>
    </xdr:sp>
    <xdr:clientData/>
  </xdr:twoCellAnchor>
  <xdr:twoCellAnchor>
    <xdr:from>
      <xdr:col>15</xdr:col>
      <xdr:colOff>103402</xdr:colOff>
      <xdr:row>16</xdr:row>
      <xdr:rowOff>38102</xdr:rowOff>
    </xdr:from>
    <xdr:to>
      <xdr:col>16</xdr:col>
      <xdr:colOff>14288</xdr:colOff>
      <xdr:row>18</xdr:row>
      <xdr:rowOff>0</xdr:rowOff>
    </xdr:to>
    <xdr:cxnSp macro="">
      <xdr:nvCxnSpPr>
        <xdr:cNvPr id="477" name="Conector: angular 476">
          <a:extLst>
            <a:ext uri="{FF2B5EF4-FFF2-40B4-BE49-F238E27FC236}">
              <a16:creationId xmlns:a16="http://schemas.microsoft.com/office/drawing/2014/main" id="{3D97D193-21A1-4908-B4C4-09EBC6E2813E}"/>
            </a:ext>
          </a:extLst>
        </xdr:cNvPr>
        <xdr:cNvCxnSpPr>
          <a:stCxn id="475" idx="0"/>
        </xdr:cNvCxnSpPr>
      </xdr:nvCxnSpPr>
      <xdr:spPr>
        <a:xfrm rot="5400000" flipH="1" flipV="1">
          <a:off x="5240446" y="2859196"/>
          <a:ext cx="323848" cy="253786"/>
        </a:xfrm>
        <a:prstGeom prst="bentConnector3">
          <a:avLst>
            <a:gd name="adj1" fmla="val 183825"/>
          </a:avLst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133350</xdr:colOff>
      <xdr:row>2</xdr:row>
      <xdr:rowOff>33448</xdr:rowOff>
    </xdr:from>
    <xdr:to>
      <xdr:col>13</xdr:col>
      <xdr:colOff>338137</xdr:colOff>
      <xdr:row>6</xdr:row>
      <xdr:rowOff>108530</xdr:rowOff>
    </xdr:to>
    <xdr:pic>
      <xdr:nvPicPr>
        <xdr:cNvPr id="506" name="Imagen 505">
          <a:extLst>
            <a:ext uri="{FF2B5EF4-FFF2-40B4-BE49-F238E27FC236}">
              <a16:creationId xmlns:a16="http://schemas.microsoft.com/office/drawing/2014/main" id="{668F39F8-294B-ECA6-C163-CD057B03D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76425" y="414448"/>
          <a:ext cx="2947987" cy="756120"/>
        </a:xfrm>
        <a:prstGeom prst="rect">
          <a:avLst/>
        </a:prstGeom>
        <a:ln w="28575">
          <a:solidFill>
            <a:srgbClr val="FFC000"/>
          </a:solidFill>
        </a:ln>
      </xdr:spPr>
    </xdr:pic>
    <xdr:clientData/>
  </xdr:twoCellAnchor>
  <xdr:twoCellAnchor editAs="oneCell">
    <xdr:from>
      <xdr:col>16</xdr:col>
      <xdr:colOff>257175</xdr:colOff>
      <xdr:row>47</xdr:row>
      <xdr:rowOff>71438</xdr:rowOff>
    </xdr:from>
    <xdr:to>
      <xdr:col>25</xdr:col>
      <xdr:colOff>119062</xdr:colOff>
      <xdr:row>51</xdr:row>
      <xdr:rowOff>103658</xdr:rowOff>
    </xdr:to>
    <xdr:pic>
      <xdr:nvPicPr>
        <xdr:cNvPr id="508" name="Imagen 507">
          <a:extLst>
            <a:ext uri="{FF2B5EF4-FFF2-40B4-BE49-F238E27FC236}">
              <a16:creationId xmlns:a16="http://schemas.microsoft.com/office/drawing/2014/main" id="{B5531624-0292-4118-8233-070E08F69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772150" y="7700963"/>
          <a:ext cx="2947987" cy="756120"/>
        </a:xfrm>
        <a:prstGeom prst="rect">
          <a:avLst/>
        </a:prstGeom>
        <a:ln w="28575">
          <a:solidFill>
            <a:srgbClr val="FFC000"/>
          </a:solidFill>
        </a:ln>
      </xdr:spPr>
    </xdr:pic>
    <xdr:clientData/>
  </xdr:twoCellAnchor>
  <xdr:twoCellAnchor>
    <xdr:from>
      <xdr:col>18</xdr:col>
      <xdr:colOff>23813</xdr:colOff>
      <xdr:row>45</xdr:row>
      <xdr:rowOff>57150</xdr:rowOff>
    </xdr:from>
    <xdr:to>
      <xdr:col>19</xdr:col>
      <xdr:colOff>285750</xdr:colOff>
      <xdr:row>46</xdr:row>
      <xdr:rowOff>123825</xdr:rowOff>
    </xdr:to>
    <xdr:sp macro="" textlink="">
      <xdr:nvSpPr>
        <xdr:cNvPr id="510" name="Rectángulo 509">
          <a:extLst>
            <a:ext uri="{FF2B5EF4-FFF2-40B4-BE49-F238E27FC236}">
              <a16:creationId xmlns:a16="http://schemas.microsoft.com/office/drawing/2014/main" id="{246B268E-D06F-2B27-56C7-73A1F1C7F35A}"/>
            </a:ext>
          </a:extLst>
        </xdr:cNvPr>
        <xdr:cNvSpPr/>
      </xdr:nvSpPr>
      <xdr:spPr>
        <a:xfrm>
          <a:off x="6224588" y="7305675"/>
          <a:ext cx="604837" cy="25717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19</xdr:col>
      <xdr:colOff>285750</xdr:colOff>
      <xdr:row>45</xdr:row>
      <xdr:rowOff>185738</xdr:rowOff>
    </xdr:from>
    <xdr:to>
      <xdr:col>20</xdr:col>
      <xdr:colOff>142876</xdr:colOff>
      <xdr:row>49</xdr:row>
      <xdr:rowOff>114300</xdr:rowOff>
    </xdr:to>
    <xdr:cxnSp macro="">
      <xdr:nvCxnSpPr>
        <xdr:cNvPr id="513" name="Conector: angular 512">
          <a:extLst>
            <a:ext uri="{FF2B5EF4-FFF2-40B4-BE49-F238E27FC236}">
              <a16:creationId xmlns:a16="http://schemas.microsoft.com/office/drawing/2014/main" id="{FC526E6C-27D1-4975-8D30-A02ECB78BEBB}"/>
            </a:ext>
          </a:extLst>
        </xdr:cNvPr>
        <xdr:cNvCxnSpPr>
          <a:stCxn id="517" idx="0"/>
          <a:endCxn id="510" idx="3"/>
        </xdr:cNvCxnSpPr>
      </xdr:nvCxnSpPr>
      <xdr:spPr>
        <a:xfrm rot="16200000" flipV="1">
          <a:off x="6593682" y="7670006"/>
          <a:ext cx="671512" cy="200026"/>
        </a:xfrm>
        <a:prstGeom prst="bentConnector2">
          <a:avLst/>
        </a:prstGeom>
        <a:ln w="190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247651</xdr:colOff>
      <xdr:row>49</xdr:row>
      <xdr:rowOff>114300</xdr:rowOff>
    </xdr:from>
    <xdr:to>
      <xdr:col>21</xdr:col>
      <xdr:colOff>38101</xdr:colOff>
      <xdr:row>50</xdr:row>
      <xdr:rowOff>80963</xdr:rowOff>
    </xdr:to>
    <xdr:sp macro="" textlink="">
      <xdr:nvSpPr>
        <xdr:cNvPr id="517" name="Rectángulo 516">
          <a:extLst>
            <a:ext uri="{FF2B5EF4-FFF2-40B4-BE49-F238E27FC236}">
              <a16:creationId xmlns:a16="http://schemas.microsoft.com/office/drawing/2014/main" id="{BA7E9837-7B9A-405C-8474-0508CC03E2C5}"/>
            </a:ext>
          </a:extLst>
        </xdr:cNvPr>
        <xdr:cNvSpPr/>
      </xdr:nvSpPr>
      <xdr:spPr>
        <a:xfrm>
          <a:off x="6791326" y="8105775"/>
          <a:ext cx="476250" cy="14763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43"/>
  <sheetViews>
    <sheetView tabSelected="1" zoomScale="160" zoomScaleNormal="160" workbookViewId="0">
      <selection activeCell="N18" sqref="N18:O18"/>
    </sheetView>
  </sheetViews>
  <sheetFormatPr baseColWidth="10" defaultRowHeight="14.4"/>
  <cols>
    <col min="1" max="2" width="5" style="2" customWidth="1"/>
    <col min="3" max="3" width="5.44140625" style="2" customWidth="1"/>
    <col min="4" max="30" width="5" style="2" customWidth="1"/>
    <col min="31" max="35" width="5" style="1" customWidth="1"/>
    <col min="36" max="60" width="4.5546875" customWidth="1"/>
  </cols>
  <sheetData>
    <row r="1" spans="1:51" ht="14.4" customHeight="1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18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15.6" customHeight="1" thickBo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8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</row>
    <row r="3" spans="1:51" ht="11.25" customHeight="1">
      <c r="A3" s="8"/>
      <c r="B3" s="311" t="s">
        <v>320</v>
      </c>
      <c r="C3" s="312"/>
      <c r="D3" s="312"/>
      <c r="E3" s="3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8"/>
      <c r="AF3" s="18"/>
      <c r="AG3" s="18"/>
      <c r="AH3" s="18"/>
      <c r="AI3" s="18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</row>
    <row r="4" spans="1:51" ht="14.4" customHeight="1">
      <c r="A4" s="8"/>
      <c r="B4" s="314"/>
      <c r="C4" s="315"/>
      <c r="D4" s="315"/>
      <c r="E4" s="316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18"/>
      <c r="AF4" s="18"/>
      <c r="AG4" s="18"/>
      <c r="AH4" s="18"/>
      <c r="AI4" s="18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</row>
    <row r="5" spans="1:51">
      <c r="A5" s="8"/>
      <c r="B5" s="11" t="s">
        <v>8</v>
      </c>
      <c r="C5" s="12" t="s">
        <v>1</v>
      </c>
      <c r="D5" s="13">
        <v>3</v>
      </c>
      <c r="E5" s="14" t="s">
        <v>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18"/>
      <c r="AF5" s="18"/>
      <c r="AG5" s="18"/>
      <c r="AH5" s="18"/>
      <c r="AI5" s="18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</row>
    <row r="6" spans="1:51">
      <c r="A6" s="8"/>
      <c r="B6" s="11" t="s">
        <v>3</v>
      </c>
      <c r="C6" s="12" t="s">
        <v>1</v>
      </c>
      <c r="D6" s="13">
        <v>0.75</v>
      </c>
      <c r="E6" s="14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18"/>
      <c r="AF6" s="18"/>
      <c r="AG6" s="18"/>
      <c r="AH6" s="18"/>
      <c r="AI6" s="18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</row>
    <row r="7" spans="1:51">
      <c r="A7" s="8"/>
      <c r="B7" s="11" t="s">
        <v>6</v>
      </c>
      <c r="C7" s="13" t="s">
        <v>1</v>
      </c>
      <c r="D7" s="15">
        <v>32</v>
      </c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8"/>
      <c r="AF7" s="18"/>
      <c r="AG7" s="18"/>
      <c r="AH7" s="18"/>
      <c r="AI7" s="18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</row>
    <row r="8" spans="1:51">
      <c r="A8" s="8"/>
      <c r="B8" s="11" t="s">
        <v>5</v>
      </c>
      <c r="C8" s="13" t="s">
        <v>1</v>
      </c>
      <c r="D8" s="15">
        <v>24</v>
      </c>
      <c r="E8" s="14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18"/>
      <c r="AF8" s="18"/>
      <c r="AG8" s="18"/>
      <c r="AH8" s="18"/>
      <c r="AI8" s="18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</row>
    <row r="9" spans="1:51">
      <c r="A9" s="8"/>
      <c r="B9" s="318" t="s">
        <v>7</v>
      </c>
      <c r="C9" s="319" t="s">
        <v>1</v>
      </c>
      <c r="D9" s="319">
        <v>1600</v>
      </c>
      <c r="E9" s="320" t="s">
        <v>14</v>
      </c>
      <c r="F9" s="309" t="s">
        <v>319</v>
      </c>
      <c r="G9" s="310"/>
      <c r="H9" s="3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8"/>
      <c r="AF9" s="18"/>
      <c r="AG9" s="18"/>
      <c r="AH9" s="18"/>
      <c r="AI9" s="18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</row>
    <row r="10" spans="1:51" ht="15" thickBot="1">
      <c r="A10" s="8"/>
      <c r="B10" s="16" t="s">
        <v>321</v>
      </c>
      <c r="C10" s="17" t="s">
        <v>1</v>
      </c>
      <c r="D10" s="17">
        <v>3</v>
      </c>
      <c r="E10" s="321">
        <v>1.5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18"/>
      <c r="AF10" s="18"/>
      <c r="AG10" s="18"/>
      <c r="AH10" s="18"/>
      <c r="AI10" s="18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>
      <c r="A11" s="4" t="s">
        <v>10</v>
      </c>
      <c r="B11" s="5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18"/>
      <c r="AF11" s="18"/>
      <c r="AG11" s="18"/>
      <c r="AH11" s="18"/>
      <c r="AI11" s="18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ht="8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18"/>
      <c r="AF12" s="18"/>
      <c r="AG12" s="18"/>
      <c r="AH12" s="18"/>
      <c r="AI12" s="18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>
      <c r="A13" s="8"/>
      <c r="B13" s="19" t="s">
        <v>11</v>
      </c>
      <c r="C13" s="2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18"/>
      <c r="AF13" s="18"/>
      <c r="AG13" s="18"/>
      <c r="AH13" s="18"/>
      <c r="AI13" s="18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ht="13.5" customHeight="1">
      <c r="A14" s="8"/>
      <c r="B14" s="21"/>
      <c r="C14" s="8"/>
      <c r="D14" s="8"/>
      <c r="E14" s="8"/>
      <c r="F14" s="8"/>
      <c r="G14" s="8"/>
      <c r="H14" s="8" t="s">
        <v>13</v>
      </c>
      <c r="I14" s="8"/>
      <c r="J14" s="8" t="s">
        <v>13</v>
      </c>
      <c r="K14" s="8"/>
      <c r="L14" s="8" t="s">
        <v>14</v>
      </c>
      <c r="M14" s="8"/>
      <c r="N14" s="160" t="s">
        <v>21</v>
      </c>
      <c r="O14" s="16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18"/>
      <c r="AF14" s="18"/>
      <c r="AG14" s="18"/>
      <c r="AH14" s="18"/>
      <c r="AI14" s="18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>
      <c r="A15" s="8"/>
      <c r="B15" s="161" t="s">
        <v>12</v>
      </c>
      <c r="C15" s="161"/>
      <c r="D15" s="161"/>
      <c r="E15" s="161"/>
      <c r="F15" s="161"/>
      <c r="G15" s="8" t="s">
        <v>1</v>
      </c>
      <c r="H15" s="8">
        <v>1</v>
      </c>
      <c r="I15" s="8" t="s">
        <v>16</v>
      </c>
      <c r="J15" s="8">
        <v>0.9</v>
      </c>
      <c r="K15" s="8" t="s">
        <v>16</v>
      </c>
      <c r="L15" s="8">
        <v>2500</v>
      </c>
      <c r="M15" s="8" t="s">
        <v>1</v>
      </c>
      <c r="N15" s="160">
        <f>H15*J15*L15</f>
        <v>2250</v>
      </c>
      <c r="O15" s="160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18"/>
      <c r="AF15" s="18"/>
      <c r="AG15" s="18"/>
      <c r="AH15" s="18"/>
      <c r="AI15" s="18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>
      <c r="A16" s="8"/>
      <c r="B16" s="161" t="s">
        <v>15</v>
      </c>
      <c r="C16" s="161"/>
      <c r="D16" s="161"/>
      <c r="E16" s="161"/>
      <c r="F16" s="161"/>
      <c r="G16" s="8" t="s">
        <v>1</v>
      </c>
      <c r="H16" s="8">
        <v>1</v>
      </c>
      <c r="I16" s="8" t="s">
        <v>16</v>
      </c>
      <c r="J16" s="8">
        <v>0.03</v>
      </c>
      <c r="K16" s="8" t="s">
        <v>16</v>
      </c>
      <c r="L16" s="8">
        <v>2200</v>
      </c>
      <c r="M16" s="8" t="s">
        <v>1</v>
      </c>
      <c r="N16" s="160">
        <f t="shared" ref="N16" si="0">H16*J16*L16</f>
        <v>66</v>
      </c>
      <c r="O16" s="160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8"/>
      <c r="AF16" s="18"/>
      <c r="AG16" s="18"/>
      <c r="AH16" s="18"/>
      <c r="AI16" s="18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1:51">
      <c r="A17" s="158"/>
      <c r="B17" s="157" t="s">
        <v>322</v>
      </c>
      <c r="C17" s="157"/>
      <c r="D17" s="157"/>
      <c r="E17" s="157"/>
      <c r="F17" s="157"/>
      <c r="G17" s="158" t="s">
        <v>1</v>
      </c>
      <c r="H17" s="158">
        <v>1</v>
      </c>
      <c r="I17" s="158" t="s">
        <v>16</v>
      </c>
      <c r="J17" s="158">
        <v>0.25</v>
      </c>
      <c r="K17" s="158" t="s">
        <v>16</v>
      </c>
      <c r="L17" s="158">
        <v>2500</v>
      </c>
      <c r="M17" s="158" t="s">
        <v>1</v>
      </c>
      <c r="N17" s="160">
        <f t="shared" ref="N17" si="1">H17*J17*L17</f>
        <v>625</v>
      </c>
      <c r="O17" s="160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8"/>
      <c r="AF17" s="18"/>
      <c r="AG17" s="18"/>
      <c r="AH17" s="18"/>
      <c r="AI17" s="18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1:51">
      <c r="A18" s="158"/>
      <c r="B18" s="157" t="s">
        <v>323</v>
      </c>
      <c r="C18" s="157"/>
      <c r="D18" s="157"/>
      <c r="E18" s="157"/>
      <c r="F18" s="157"/>
      <c r="G18" s="158" t="s">
        <v>1</v>
      </c>
      <c r="H18" s="158">
        <v>1</v>
      </c>
      <c r="I18" s="158" t="s">
        <v>16</v>
      </c>
      <c r="J18" s="158">
        <v>0.05</v>
      </c>
      <c r="K18" s="158" t="s">
        <v>16</v>
      </c>
      <c r="L18" s="158">
        <v>1200</v>
      </c>
      <c r="M18" s="158" t="s">
        <v>1</v>
      </c>
      <c r="N18" s="160">
        <f t="shared" ref="N18" si="2">H18*J18*L18</f>
        <v>60</v>
      </c>
      <c r="O18" s="160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8"/>
      <c r="AF18" s="18"/>
      <c r="AG18" s="18"/>
      <c r="AH18" s="18"/>
      <c r="AI18" s="18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1:51" ht="10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18"/>
      <c r="AF19" s="18"/>
      <c r="AG19" s="18"/>
      <c r="AH19" s="18"/>
      <c r="AI19" s="18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1:51">
      <c r="A20" s="8"/>
      <c r="B20" s="174" t="s">
        <v>19</v>
      </c>
      <c r="C20" s="174"/>
      <c r="D20" s="174"/>
      <c r="E20" s="174"/>
      <c r="F20" s="174"/>
      <c r="G20" s="22" t="s">
        <v>1</v>
      </c>
      <c r="H20" s="175">
        <f>N15</f>
        <v>2250</v>
      </c>
      <c r="I20" s="175"/>
      <c r="J20" s="23" t="s">
        <v>21</v>
      </c>
      <c r="K20" s="24"/>
      <c r="L20" s="22">
        <f>+H20/1000</f>
        <v>2.25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18"/>
      <c r="AF20" s="18"/>
      <c r="AG20" s="18"/>
      <c r="AH20" s="18"/>
      <c r="AI20" s="18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1:51">
      <c r="A21" s="8"/>
      <c r="B21" s="174" t="s">
        <v>20</v>
      </c>
      <c r="C21" s="174"/>
      <c r="D21" s="174"/>
      <c r="E21" s="174"/>
      <c r="F21" s="174"/>
      <c r="G21" s="22" t="s">
        <v>1</v>
      </c>
      <c r="H21" s="175">
        <f>N16</f>
        <v>66</v>
      </c>
      <c r="I21" s="175"/>
      <c r="J21" s="23" t="s">
        <v>21</v>
      </c>
      <c r="K21" s="8"/>
      <c r="L21" s="22">
        <f>+H21/1000</f>
        <v>6.6000000000000003E-2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8"/>
      <c r="AF21" s="18"/>
      <c r="AG21" s="18"/>
      <c r="AH21" s="18"/>
      <c r="AI21" s="18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1:51">
      <c r="A22" s="158"/>
      <c r="B22" s="174" t="s">
        <v>324</v>
      </c>
      <c r="C22" s="174"/>
      <c r="D22" s="174"/>
      <c r="E22" s="174"/>
      <c r="F22" s="174"/>
      <c r="G22" s="159" t="s">
        <v>1</v>
      </c>
      <c r="H22" s="175">
        <f>N17</f>
        <v>625</v>
      </c>
      <c r="I22" s="175"/>
      <c r="J22" s="23" t="s">
        <v>21</v>
      </c>
      <c r="K22" s="158"/>
      <c r="L22" s="159">
        <f>+H22/1000</f>
        <v>0.625</v>
      </c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8"/>
      <c r="AF22" s="18"/>
      <c r="AG22" s="18"/>
      <c r="AH22" s="18"/>
      <c r="AI22" s="18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1:51">
      <c r="A23" s="158"/>
      <c r="B23" s="174" t="s">
        <v>325</v>
      </c>
      <c r="C23" s="174"/>
      <c r="D23" s="174"/>
      <c r="E23" s="174"/>
      <c r="F23" s="174"/>
      <c r="G23" s="159" t="s">
        <v>1</v>
      </c>
      <c r="H23" s="175">
        <f>N18</f>
        <v>60</v>
      </c>
      <c r="I23" s="175"/>
      <c r="J23" s="23" t="s">
        <v>21</v>
      </c>
      <c r="K23" s="158"/>
      <c r="L23" s="159">
        <f t="shared" ref="L22:L23" si="3">+H23/1000</f>
        <v>0.06</v>
      </c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8"/>
      <c r="AF23" s="18"/>
      <c r="AG23" s="18"/>
      <c r="AH23" s="18"/>
      <c r="AI23" s="18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1:51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2">
        <f>+SUM(L20:L23)</f>
        <v>3.0009999999999999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18"/>
      <c r="AF24" s="18"/>
      <c r="AG24" s="18"/>
      <c r="AH24" s="18"/>
      <c r="AI24" s="18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1:51">
      <c r="A25" s="8"/>
      <c r="B25" s="19" t="s">
        <v>22</v>
      </c>
      <c r="C25" s="2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18"/>
      <c r="AF25" s="18"/>
      <c r="AG25" s="18"/>
      <c r="AH25" s="18"/>
      <c r="AI25" s="18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1:51" ht="7.5" customHeight="1">
      <c r="A26" s="8"/>
      <c r="B26" s="2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18"/>
      <c r="AF26" s="18"/>
      <c r="AG26" s="18"/>
      <c r="AH26" s="18"/>
      <c r="AI26" s="18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1:51">
      <c r="A27" s="8"/>
      <c r="B27" s="161" t="s">
        <v>25</v>
      </c>
      <c r="C27" s="161"/>
      <c r="D27" s="161"/>
      <c r="E27" s="161"/>
      <c r="F27" s="161"/>
      <c r="G27" s="8" t="s">
        <v>1</v>
      </c>
      <c r="H27" s="8">
        <v>5.6</v>
      </c>
      <c r="I27" s="8" t="s">
        <v>26</v>
      </c>
      <c r="J27" s="8" t="s">
        <v>1</v>
      </c>
      <c r="K27" s="160">
        <f>H27*1000</f>
        <v>5600</v>
      </c>
      <c r="L27" s="160"/>
      <c r="M27" s="8" t="s">
        <v>21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18"/>
      <c r="AF27" s="18"/>
      <c r="AG27" s="18"/>
      <c r="AH27" s="18"/>
      <c r="AI27" s="18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1:51">
      <c r="A28" s="8"/>
      <c r="B28" s="161" t="s">
        <v>23</v>
      </c>
      <c r="C28" s="161"/>
      <c r="D28" s="161"/>
      <c r="E28" s="161"/>
      <c r="F28" s="161"/>
      <c r="G28" s="8" t="s">
        <v>1</v>
      </c>
      <c r="H28" s="8">
        <v>6.18</v>
      </c>
      <c r="I28" s="8" t="s">
        <v>26</v>
      </c>
      <c r="J28" s="8" t="s">
        <v>1</v>
      </c>
      <c r="K28" s="160">
        <f>H28*1000</f>
        <v>6180</v>
      </c>
      <c r="L28" s="160"/>
      <c r="M28" s="8" t="s">
        <v>21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18"/>
      <c r="AF28" s="18"/>
      <c r="AG28" s="18"/>
      <c r="AH28" s="18"/>
      <c r="AI28" s="18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</row>
    <row r="29" spans="1:51">
      <c r="A29" s="8"/>
      <c r="B29" s="161" t="s">
        <v>24</v>
      </c>
      <c r="C29" s="161"/>
      <c r="D29" s="161"/>
      <c r="E29" s="161"/>
      <c r="F29" s="161"/>
      <c r="G29" s="8" t="s">
        <v>1</v>
      </c>
      <c r="H29" s="8">
        <v>2.0699999999999998</v>
      </c>
      <c r="I29" s="8" t="s">
        <v>26</v>
      </c>
      <c r="J29" s="8" t="s">
        <v>1</v>
      </c>
      <c r="K29" s="160">
        <f>H29*1000</f>
        <v>2070</v>
      </c>
      <c r="L29" s="160"/>
      <c r="M29" s="8" t="s">
        <v>21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18"/>
      <c r="AF29" s="18"/>
      <c r="AG29" s="18"/>
      <c r="AH29" s="18"/>
      <c r="AI29" s="18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</row>
    <row r="30" spans="1:5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18"/>
      <c r="AF30" s="18"/>
      <c r="AG30" s="18"/>
      <c r="AH30" s="18"/>
      <c r="AI30" s="18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</row>
    <row r="31" spans="1:51">
      <c r="A31" s="8"/>
      <c r="B31" s="174" t="s">
        <v>28</v>
      </c>
      <c r="C31" s="174"/>
      <c r="D31" s="174"/>
      <c r="E31" s="174"/>
      <c r="F31" s="174"/>
      <c r="G31" s="22" t="s">
        <v>1</v>
      </c>
      <c r="H31" s="187">
        <f>K27+K28+K29</f>
        <v>13850</v>
      </c>
      <c r="I31" s="187"/>
      <c r="J31" s="23" t="s">
        <v>21</v>
      </c>
      <c r="K31" s="24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18"/>
      <c r="AF31" s="18"/>
      <c r="AG31" s="18"/>
      <c r="AH31" s="18"/>
      <c r="AI31" s="18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</row>
    <row r="32" spans="1:51">
      <c r="A32" s="8"/>
      <c r="B32" s="174" t="s">
        <v>29</v>
      </c>
      <c r="C32" s="174"/>
      <c r="D32" s="174"/>
      <c r="E32" s="174"/>
      <c r="F32" s="174"/>
      <c r="G32" s="22" t="s">
        <v>1</v>
      </c>
      <c r="H32" s="187">
        <f>H31*0.33</f>
        <v>4570.5</v>
      </c>
      <c r="I32" s="187"/>
      <c r="J32" s="23" t="s">
        <v>21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18"/>
      <c r="AF32" s="18"/>
      <c r="AG32" s="18"/>
      <c r="AH32" s="18"/>
      <c r="AI32" s="18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</row>
    <row r="33" spans="1:5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8"/>
      <c r="AF33" s="18"/>
      <c r="AG33" s="18"/>
      <c r="AH33" s="18"/>
      <c r="AI33" s="18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</row>
    <row r="34" spans="1:51">
      <c r="A34" s="8"/>
      <c r="B34" s="8"/>
      <c r="C34" s="8"/>
      <c r="D34" s="8"/>
      <c r="E34" s="8"/>
      <c r="F34" s="8"/>
      <c r="G34" s="8"/>
      <c r="H34" s="8"/>
      <c r="I34" s="24" t="s">
        <v>37</v>
      </c>
      <c r="J34" s="8" t="s">
        <v>1</v>
      </c>
      <c r="K34" s="162">
        <f>0.25*K27</f>
        <v>1400</v>
      </c>
      <c r="L34" s="162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18"/>
      <c r="AF34" s="18"/>
      <c r="AG34" s="18"/>
      <c r="AH34" s="18"/>
      <c r="AI34" s="18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</row>
    <row r="35" spans="1:5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18"/>
      <c r="AF35" s="18"/>
      <c r="AG35" s="18"/>
      <c r="AH35" s="18"/>
      <c r="AI35" s="18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</row>
    <row r="36" spans="1:51">
      <c r="A36" s="8"/>
      <c r="B36" s="8"/>
      <c r="C36" s="8"/>
      <c r="D36" s="8"/>
      <c r="E36" s="8"/>
      <c r="F36" s="8"/>
      <c r="G36" s="8"/>
      <c r="H36" s="8"/>
      <c r="I36" s="24" t="s">
        <v>17</v>
      </c>
      <c r="J36" s="8" t="s">
        <v>1</v>
      </c>
      <c r="K36" s="162">
        <f>H20</f>
        <v>2250</v>
      </c>
      <c r="L36" s="162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18"/>
      <c r="AF36" s="18"/>
      <c r="AG36" s="18"/>
      <c r="AH36" s="18"/>
      <c r="AI36" s="18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</row>
    <row r="37" spans="1:51">
      <c r="A37" s="8"/>
      <c r="B37" s="8"/>
      <c r="C37" s="8"/>
      <c r="D37" s="8"/>
      <c r="E37" s="8"/>
      <c r="F37" s="163">
        <v>1.8</v>
      </c>
      <c r="G37" s="163"/>
      <c r="H37" s="8"/>
      <c r="I37" s="24" t="s">
        <v>18</v>
      </c>
      <c r="J37" s="8" t="s">
        <v>1</v>
      </c>
      <c r="K37" s="162">
        <f>H21</f>
        <v>66</v>
      </c>
      <c r="L37" s="162"/>
      <c r="M37" s="24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18"/>
      <c r="AF37" s="18"/>
      <c r="AG37" s="18"/>
      <c r="AH37" s="18"/>
      <c r="AI37" s="18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</row>
    <row r="38" spans="1:51">
      <c r="A38" s="8"/>
      <c r="B38" s="8"/>
      <c r="C38" s="8"/>
      <c r="D38" s="8"/>
      <c r="E38" s="8"/>
      <c r="F38" s="8"/>
      <c r="G38" s="8"/>
      <c r="H38" s="8"/>
      <c r="I38" s="24" t="s">
        <v>34</v>
      </c>
      <c r="J38" s="8" t="s">
        <v>1</v>
      </c>
      <c r="K38" s="162">
        <f>H31+H32</f>
        <v>18420.5</v>
      </c>
      <c r="L38" s="162"/>
      <c r="M38" s="2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18"/>
      <c r="AF38" s="18"/>
      <c r="AG38" s="18"/>
      <c r="AH38" s="18"/>
      <c r="AI38" s="18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</row>
    <row r="39" spans="1:5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18"/>
      <c r="AF39" s="18"/>
      <c r="AG39" s="18"/>
      <c r="AH39" s="18"/>
      <c r="AI39" s="18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</row>
    <row r="40" spans="1:51" ht="19.5" customHeight="1">
      <c r="A40" s="8"/>
      <c r="B40" s="8"/>
      <c r="C40" s="8"/>
      <c r="D40" s="160" t="s">
        <v>42</v>
      </c>
      <c r="E40" s="160"/>
      <c r="F40" s="160"/>
      <c r="G40" s="8"/>
      <c r="H40" s="8"/>
      <c r="I40" s="8"/>
      <c r="J40" s="8"/>
      <c r="K40" s="8"/>
      <c r="L40" s="25" t="s">
        <v>38</v>
      </c>
      <c r="M40" s="8"/>
      <c r="N40" s="8"/>
      <c r="O40" s="8"/>
      <c r="P40" s="190">
        <v>0.3</v>
      </c>
      <c r="Q40" s="190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18"/>
      <c r="AF40" s="18"/>
      <c r="AG40" s="18"/>
      <c r="AH40" s="18"/>
      <c r="AI40" s="18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</row>
    <row r="41" spans="1:51">
      <c r="A41" s="8"/>
      <c r="B41" s="26" t="s">
        <v>35</v>
      </c>
      <c r="C41" s="8" t="s">
        <v>1</v>
      </c>
      <c r="D41" s="162">
        <v>150</v>
      </c>
      <c r="E41" s="162"/>
      <c r="F41" s="163">
        <v>0.9</v>
      </c>
      <c r="G41" s="163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18"/>
      <c r="AF41" s="18"/>
      <c r="AG41" s="18"/>
      <c r="AH41" s="18"/>
      <c r="AI41" s="18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</row>
    <row r="42" spans="1:51">
      <c r="A42" s="176" t="s">
        <v>36</v>
      </c>
      <c r="B42" s="176"/>
      <c r="C42" s="8" t="s">
        <v>1</v>
      </c>
      <c r="D42" s="162">
        <v>900</v>
      </c>
      <c r="E42" s="162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18"/>
      <c r="AF42" s="18"/>
      <c r="AG42" s="18"/>
      <c r="AH42" s="18"/>
      <c r="AI42" s="18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</row>
    <row r="43" spans="1:51">
      <c r="A43" s="8"/>
      <c r="B43" s="8"/>
      <c r="C43" s="8"/>
      <c r="D43" s="8"/>
      <c r="E43" s="8"/>
      <c r="F43" s="163">
        <f>F41/2</f>
        <v>0.45</v>
      </c>
      <c r="G43" s="163"/>
      <c r="H43" s="8"/>
      <c r="I43" s="8" t="s">
        <v>57</v>
      </c>
      <c r="J43" s="8" t="s">
        <v>71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18"/>
      <c r="AF43" s="18"/>
      <c r="AG43" s="18"/>
      <c r="AH43" s="18"/>
      <c r="AI43" s="18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</row>
    <row r="44" spans="1:5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18"/>
      <c r="AF44" s="18"/>
      <c r="AG44" s="18"/>
      <c r="AH44" s="18"/>
      <c r="AI44" s="18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</row>
    <row r="45" spans="1:5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18"/>
      <c r="AF45" s="18"/>
      <c r="AG45" s="18"/>
      <c r="AH45" s="18"/>
      <c r="AI45" s="18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</row>
    <row r="46" spans="1:51" ht="1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160" t="s">
        <v>40</v>
      </c>
      <c r="M46" s="160"/>
      <c r="N46" s="160"/>
      <c r="O46" s="160"/>
      <c r="P46" s="8"/>
      <c r="Q46" s="160" t="s">
        <v>39</v>
      </c>
      <c r="R46" s="173" t="s">
        <v>1</v>
      </c>
      <c r="S46" s="163">
        <v>4.0999999999999996</v>
      </c>
      <c r="T46" s="163"/>
      <c r="U46" s="8"/>
      <c r="V46" s="8"/>
      <c r="W46" s="8"/>
      <c r="X46" s="8"/>
      <c r="Y46" s="8"/>
      <c r="Z46" s="8"/>
      <c r="AA46" s="8"/>
      <c r="AB46" s="8"/>
      <c r="AC46" s="8"/>
      <c r="AD46" s="8"/>
      <c r="AE46" s="18"/>
      <c r="AF46" s="18"/>
      <c r="AG46" s="18"/>
      <c r="AH46" s="18"/>
      <c r="AI46" s="18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</row>
    <row r="47" spans="1:51" ht="15" customHeight="1">
      <c r="A47" s="8"/>
      <c r="B47" s="8"/>
      <c r="C47" s="8"/>
      <c r="D47" s="8"/>
      <c r="E47" s="8"/>
      <c r="F47" s="8"/>
      <c r="G47" s="8"/>
      <c r="H47" s="8"/>
      <c r="I47" s="8"/>
      <c r="J47" s="27"/>
      <c r="K47" s="8"/>
      <c r="L47" s="8" t="s">
        <v>6</v>
      </c>
      <c r="M47" s="8" t="s">
        <v>1</v>
      </c>
      <c r="N47" s="10">
        <f>D7</f>
        <v>32</v>
      </c>
      <c r="O47" s="8"/>
      <c r="P47" s="8"/>
      <c r="Q47" s="160"/>
      <c r="R47" s="160"/>
      <c r="S47" s="163"/>
      <c r="T47" s="163"/>
      <c r="U47" s="8"/>
      <c r="V47" s="8"/>
      <c r="W47" s="8"/>
      <c r="X47" s="8"/>
      <c r="Y47" s="8"/>
      <c r="Z47" s="8"/>
      <c r="AA47" s="8"/>
      <c r="AB47" s="8"/>
      <c r="AC47" s="8"/>
      <c r="AD47" s="8"/>
      <c r="AE47" s="18"/>
      <c r="AF47" s="18"/>
      <c r="AG47" s="18"/>
      <c r="AH47" s="18"/>
      <c r="AI47" s="18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</row>
    <row r="48" spans="1:51">
      <c r="A48" s="8"/>
      <c r="B48" s="8"/>
      <c r="C48" s="8"/>
      <c r="D48" s="8"/>
      <c r="E48" s="8"/>
      <c r="F48" s="8" t="s">
        <v>33</v>
      </c>
      <c r="G48" s="8"/>
      <c r="H48" s="189" t="s">
        <v>43</v>
      </c>
      <c r="I48" s="189"/>
      <c r="J48" s="27"/>
      <c r="K48" s="8"/>
      <c r="L48" s="8" t="s">
        <v>5</v>
      </c>
      <c r="M48" s="8" t="s">
        <v>1</v>
      </c>
      <c r="N48" s="10">
        <f>D8</f>
        <v>24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18"/>
      <c r="AF48" s="18"/>
      <c r="AG48" s="18"/>
      <c r="AH48" s="18"/>
      <c r="AI48" s="18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</row>
    <row r="49" spans="1:51">
      <c r="A49" s="8"/>
      <c r="B49" s="8"/>
      <c r="C49" s="8"/>
      <c r="D49" s="8"/>
      <c r="E49" s="8"/>
      <c r="F49" s="8"/>
      <c r="G49" s="8"/>
      <c r="H49" s="189"/>
      <c r="I49" s="189"/>
      <c r="J49" s="27"/>
      <c r="K49" s="8"/>
      <c r="L49" s="8" t="s">
        <v>7</v>
      </c>
      <c r="M49" s="8" t="s">
        <v>1</v>
      </c>
      <c r="N49" s="28">
        <f>D9</f>
        <v>1600</v>
      </c>
      <c r="O49" s="8" t="s">
        <v>14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8"/>
      <c r="AF49" s="18"/>
      <c r="AG49" s="18"/>
      <c r="AH49" s="18"/>
      <c r="AI49" s="18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</row>
    <row r="50" spans="1:51">
      <c r="A50" s="8"/>
      <c r="B50" s="8"/>
      <c r="C50" s="8"/>
      <c r="D50" s="8"/>
      <c r="E50" s="8"/>
      <c r="F50" s="8"/>
      <c r="G50" s="8"/>
      <c r="H50" s="8"/>
      <c r="I50" s="8"/>
      <c r="J50" s="8"/>
      <c r="K50" s="8" t="s">
        <v>30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8"/>
      <c r="AF50" s="18"/>
      <c r="AG50" s="18"/>
      <c r="AH50" s="18"/>
      <c r="AI50" s="18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</row>
    <row r="51" spans="1:51">
      <c r="A51" s="8"/>
      <c r="B51" s="8"/>
      <c r="C51" s="191">
        <v>1.5</v>
      </c>
      <c r="D51" s="191"/>
      <c r="E51" s="8"/>
      <c r="F51" s="8"/>
      <c r="G51" s="26" t="s">
        <v>41</v>
      </c>
      <c r="H51" s="8" t="s">
        <v>1</v>
      </c>
      <c r="I51" s="188">
        <v>2500</v>
      </c>
      <c r="J51" s="18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8"/>
      <c r="AF51" s="18"/>
      <c r="AG51" s="18"/>
      <c r="AH51" s="18"/>
      <c r="AI51" s="18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</row>
    <row r="52" spans="1:5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 t="s">
        <v>31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8"/>
      <c r="AF52" s="18"/>
      <c r="AG52" s="18"/>
      <c r="AH52" s="18"/>
      <c r="AI52" s="18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</row>
    <row r="53" spans="1:5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8"/>
      <c r="AF53" s="18"/>
      <c r="AG53" s="18"/>
      <c r="AH53" s="18"/>
      <c r="AI53" s="18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</row>
    <row r="54" spans="1:51">
      <c r="A54" s="8"/>
      <c r="B54" s="8"/>
      <c r="C54" s="8"/>
      <c r="D54" s="8"/>
      <c r="E54" s="8"/>
      <c r="F54" s="160" t="s">
        <v>32</v>
      </c>
      <c r="G54" s="160"/>
      <c r="H54" s="160"/>
      <c r="I54" s="160"/>
      <c r="J54" s="160"/>
      <c r="K54" s="160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8"/>
      <c r="AF54" s="18"/>
      <c r="AG54" s="18"/>
      <c r="AH54" s="18"/>
      <c r="AI54" s="18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</row>
    <row r="55" spans="1:5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8"/>
      <c r="AF55" s="18"/>
      <c r="AG55" s="18"/>
      <c r="AH55" s="18"/>
      <c r="AI55" s="18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51">
      <c r="A56" s="4" t="s">
        <v>44</v>
      </c>
      <c r="B56" s="5" t="s">
        <v>73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8"/>
      <c r="AF56" s="18"/>
      <c r="AG56" s="18"/>
      <c r="AH56" s="18"/>
      <c r="AI56" s="18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</row>
    <row r="57" spans="1:51" ht="10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18"/>
      <c r="AF57" s="18"/>
      <c r="AG57" s="18"/>
      <c r="AH57" s="18"/>
      <c r="AI57" s="18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</row>
    <row r="58" spans="1:51">
      <c r="A58" s="8"/>
      <c r="B58" s="161" t="str">
        <f>"Para la altura H = "&amp;S46&amp;" m, probamos una sección preliminar de estribo con:"</f>
        <v>Para la altura H = 4.1 m, probamos una sección preliminar de estribo con:</v>
      </c>
      <c r="C58" s="161"/>
      <c r="D58" s="161"/>
      <c r="E58" s="161"/>
      <c r="F58" s="161"/>
      <c r="G58" s="161"/>
      <c r="H58" s="161"/>
      <c r="I58" s="161"/>
      <c r="J58" s="161"/>
      <c r="K58" s="161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18"/>
      <c r="AF58" s="18"/>
      <c r="AG58" s="18"/>
      <c r="AH58" s="18"/>
      <c r="AI58" s="18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</row>
    <row r="59" spans="1:51">
      <c r="A59" s="29" t="s">
        <v>45</v>
      </c>
      <c r="B59" s="30" t="s">
        <v>46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18"/>
      <c r="AF59" s="18"/>
      <c r="AG59" s="18"/>
      <c r="AH59" s="18"/>
      <c r="AI59" s="18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</row>
    <row r="60" spans="1:51">
      <c r="A60" s="8"/>
      <c r="B60" s="160" t="s">
        <v>47</v>
      </c>
      <c r="C60" s="160"/>
      <c r="D60" s="31" t="s">
        <v>48</v>
      </c>
      <c r="E60" s="160" t="s">
        <v>49</v>
      </c>
      <c r="F60" s="160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18"/>
      <c r="AF60" s="18"/>
      <c r="AG60" s="18"/>
      <c r="AH60" s="18"/>
      <c r="AI60" s="18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</row>
    <row r="61" spans="1:51">
      <c r="A61" s="8"/>
      <c r="B61" s="172">
        <f>1/2*S46</f>
        <v>2.0499999999999998</v>
      </c>
      <c r="C61" s="172"/>
      <c r="D61" s="31" t="s">
        <v>48</v>
      </c>
      <c r="E61" s="172">
        <f>2/3*S46</f>
        <v>2.7333333333333329</v>
      </c>
      <c r="F61" s="172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18"/>
      <c r="AF61" s="18"/>
      <c r="AG61" s="18"/>
      <c r="AH61" s="18"/>
      <c r="AI61" s="18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</row>
    <row r="62" spans="1:51">
      <c r="A62" s="8"/>
      <c r="B62" s="164" t="s">
        <v>50</v>
      </c>
      <c r="C62" s="165"/>
      <c r="D62" s="165"/>
      <c r="E62" s="165"/>
      <c r="F62" s="48">
        <v>2.5</v>
      </c>
      <c r="G62" s="49" t="s">
        <v>13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18"/>
      <c r="AF62" s="18"/>
      <c r="AG62" s="18"/>
      <c r="AH62" s="18"/>
      <c r="AI62" s="18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</row>
    <row r="63" spans="1:51" ht="8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18"/>
      <c r="AF63" s="18"/>
      <c r="AG63" s="18"/>
      <c r="AH63" s="18"/>
      <c r="AI63" s="18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</row>
    <row r="64" spans="1:51">
      <c r="A64" s="29" t="s">
        <v>45</v>
      </c>
      <c r="B64" s="30" t="s">
        <v>51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18"/>
      <c r="AF64" s="18"/>
      <c r="AG64" s="18"/>
      <c r="AH64" s="18"/>
      <c r="AI64" s="18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</row>
    <row r="65" spans="1:51">
      <c r="A65" s="8"/>
      <c r="B65" s="160" t="s">
        <v>52</v>
      </c>
      <c r="C65" s="160"/>
      <c r="D65" s="31" t="s">
        <v>48</v>
      </c>
      <c r="E65" s="160" t="s">
        <v>53</v>
      </c>
      <c r="F65" s="160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18"/>
      <c r="AF65" s="18"/>
      <c r="AG65" s="18"/>
      <c r="AH65" s="18"/>
      <c r="AI65" s="18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</row>
    <row r="66" spans="1:51">
      <c r="A66" s="8"/>
      <c r="B66" s="172">
        <f>S46/6</f>
        <v>0.68333333333333324</v>
      </c>
      <c r="C66" s="172"/>
      <c r="D66" s="31" t="s">
        <v>48</v>
      </c>
      <c r="E66" s="172">
        <f>S46/8</f>
        <v>0.51249999999999996</v>
      </c>
      <c r="F66" s="172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18"/>
      <c r="AF66" s="18"/>
      <c r="AG66" s="18"/>
      <c r="AH66" s="18"/>
      <c r="AI66" s="18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</row>
    <row r="67" spans="1:51">
      <c r="A67" s="8"/>
      <c r="B67" s="164" t="s">
        <v>50</v>
      </c>
      <c r="C67" s="165"/>
      <c r="D67" s="165"/>
      <c r="E67" s="165"/>
      <c r="F67" s="48">
        <v>0.6</v>
      </c>
      <c r="G67" s="49" t="s">
        <v>13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18"/>
      <c r="AF67" s="18"/>
      <c r="AG67" s="18"/>
      <c r="AH67" s="18"/>
      <c r="AI67" s="18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</row>
    <row r="68" spans="1:51" ht="9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18"/>
      <c r="AF68" s="18"/>
      <c r="AG68" s="18"/>
      <c r="AH68" s="18"/>
      <c r="AI68" s="18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</row>
    <row r="69" spans="1:51">
      <c r="A69" s="29" t="s">
        <v>45</v>
      </c>
      <c r="B69" s="30" t="s">
        <v>54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18"/>
      <c r="AF69" s="18"/>
      <c r="AG69" s="18"/>
      <c r="AH69" s="18"/>
      <c r="AI69" s="18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</row>
    <row r="70" spans="1:51">
      <c r="A70" s="8"/>
      <c r="B70" s="160" t="s">
        <v>55</v>
      </c>
      <c r="C70" s="160"/>
      <c r="D70" s="31" t="s">
        <v>48</v>
      </c>
      <c r="E70" s="160" t="s">
        <v>52</v>
      </c>
      <c r="F70" s="160"/>
      <c r="G70" s="31" t="s">
        <v>48</v>
      </c>
      <c r="H70" s="160" t="s">
        <v>72</v>
      </c>
      <c r="I70" s="160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18"/>
      <c r="AF70" s="18"/>
      <c r="AG70" s="18"/>
      <c r="AH70" s="18"/>
      <c r="AI70" s="18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</row>
    <row r="71" spans="1:51">
      <c r="A71" s="8"/>
      <c r="B71" s="172">
        <f>S46/12</f>
        <v>0.34166666666666662</v>
      </c>
      <c r="C71" s="172"/>
      <c r="D71" s="31" t="s">
        <v>48</v>
      </c>
      <c r="E71" s="172">
        <f>S46/6</f>
        <v>0.68333333333333324</v>
      </c>
      <c r="F71" s="172"/>
      <c r="G71" s="31" t="s">
        <v>48</v>
      </c>
      <c r="H71" s="172">
        <v>0.3</v>
      </c>
      <c r="I71" s="172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18"/>
      <c r="AF71" s="18"/>
      <c r="AG71" s="18"/>
      <c r="AH71" s="18"/>
      <c r="AI71" s="18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</row>
    <row r="72" spans="1:51">
      <c r="A72" s="8"/>
      <c r="B72" s="164" t="s">
        <v>50</v>
      </c>
      <c r="C72" s="165"/>
      <c r="D72" s="165"/>
      <c r="E72" s="165"/>
      <c r="F72" s="48">
        <v>0.5</v>
      </c>
      <c r="G72" s="49" t="s">
        <v>13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18"/>
      <c r="AF72" s="18"/>
      <c r="AG72" s="18"/>
      <c r="AH72" s="18"/>
      <c r="AI72" s="18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</row>
    <row r="73" spans="1:51" ht="9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18"/>
      <c r="AF73" s="18"/>
      <c r="AG73" s="18"/>
      <c r="AH73" s="18"/>
      <c r="AI73" s="18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</row>
    <row r="74" spans="1:51">
      <c r="A74" s="29" t="s">
        <v>45</v>
      </c>
      <c r="B74" s="30" t="s">
        <v>56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18"/>
      <c r="AF74" s="18"/>
      <c r="AG74" s="18"/>
      <c r="AH74" s="18"/>
      <c r="AI74" s="18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</row>
    <row r="75" spans="1:51">
      <c r="A75" s="8"/>
      <c r="B75" s="160" t="s">
        <v>55</v>
      </c>
      <c r="C75" s="160"/>
      <c r="D75" s="31" t="s">
        <v>48</v>
      </c>
      <c r="E75" s="160" t="s">
        <v>52</v>
      </c>
      <c r="F75" s="160"/>
      <c r="G75" s="31" t="s">
        <v>48</v>
      </c>
      <c r="H75" s="160" t="s">
        <v>72</v>
      </c>
      <c r="I75" s="160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18"/>
      <c r="AF75" s="18"/>
      <c r="AG75" s="18"/>
      <c r="AH75" s="18"/>
      <c r="AI75" s="18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</row>
    <row r="76" spans="1:51">
      <c r="A76" s="8"/>
      <c r="B76" s="172">
        <f>S46/12</f>
        <v>0.34166666666666662</v>
      </c>
      <c r="C76" s="172"/>
      <c r="D76" s="31" t="s">
        <v>48</v>
      </c>
      <c r="E76" s="172">
        <f>S46/6</f>
        <v>0.68333333333333324</v>
      </c>
      <c r="F76" s="172"/>
      <c r="G76" s="31" t="s">
        <v>48</v>
      </c>
      <c r="H76" s="172">
        <v>0.2</v>
      </c>
      <c r="I76" s="172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18"/>
      <c r="AF76" s="18"/>
      <c r="AG76" s="18"/>
      <c r="AH76" s="18"/>
      <c r="AI76" s="18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</row>
    <row r="77" spans="1:51">
      <c r="A77" s="8"/>
      <c r="B77" s="164" t="s">
        <v>50</v>
      </c>
      <c r="C77" s="165"/>
      <c r="D77" s="165"/>
      <c r="E77" s="165"/>
      <c r="F77" s="48">
        <v>0.5</v>
      </c>
      <c r="G77" s="49" t="s">
        <v>13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18"/>
      <c r="AF77" s="18"/>
      <c r="AG77" s="18"/>
      <c r="AH77" s="18"/>
      <c r="AI77" s="18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</row>
    <row r="78" spans="1:51" ht="9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18"/>
      <c r="AF78" s="18"/>
      <c r="AG78" s="18"/>
      <c r="AH78" s="18"/>
      <c r="AI78" s="18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</row>
    <row r="79" spans="1:51">
      <c r="A79" s="29" t="s">
        <v>45</v>
      </c>
      <c r="B79" s="30" t="s">
        <v>61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18"/>
      <c r="AF79" s="18"/>
      <c r="AG79" s="18"/>
      <c r="AH79" s="18"/>
      <c r="AI79" s="18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</row>
    <row r="80" spans="1:51">
      <c r="A80" s="8"/>
      <c r="B80" s="160" t="s">
        <v>55</v>
      </c>
      <c r="C80" s="160"/>
      <c r="D80" s="31" t="s">
        <v>48</v>
      </c>
      <c r="E80" s="160" t="s">
        <v>62</v>
      </c>
      <c r="F80" s="160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18"/>
      <c r="AF80" s="18"/>
      <c r="AG80" s="18"/>
      <c r="AH80" s="18"/>
      <c r="AI80" s="18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</row>
    <row r="81" spans="1:51">
      <c r="A81" s="8"/>
      <c r="B81" s="172">
        <f>S46/12</f>
        <v>0.34166666666666662</v>
      </c>
      <c r="C81" s="172"/>
      <c r="D81" s="31" t="s">
        <v>48</v>
      </c>
      <c r="E81" s="163">
        <v>0.3</v>
      </c>
      <c r="F81" s="163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18"/>
      <c r="AF81" s="18"/>
      <c r="AG81" s="18"/>
      <c r="AH81" s="18"/>
      <c r="AI81" s="18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</row>
    <row r="82" spans="1:51">
      <c r="A82" s="8"/>
      <c r="B82" s="164" t="s">
        <v>50</v>
      </c>
      <c r="C82" s="165"/>
      <c r="D82" s="165"/>
      <c r="E82" s="165"/>
      <c r="F82" s="48">
        <v>0.32</v>
      </c>
      <c r="G82" s="49" t="s">
        <v>13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18"/>
      <c r="AF82" s="18"/>
      <c r="AG82" s="18"/>
      <c r="AH82" s="18"/>
      <c r="AI82" s="18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</row>
    <row r="83" spans="1:51" ht="9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18"/>
      <c r="AF83" s="18"/>
      <c r="AG83" s="18"/>
      <c r="AH83" s="18"/>
      <c r="AI83" s="18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</row>
    <row r="84" spans="1:51">
      <c r="A84" s="29" t="s">
        <v>45</v>
      </c>
      <c r="B84" s="32" t="s">
        <v>57</v>
      </c>
      <c r="C84" s="9" t="s">
        <v>1</v>
      </c>
      <c r="D84" s="168">
        <v>0.4</v>
      </c>
      <c r="E84" s="169"/>
      <c r="F84" s="165" t="s">
        <v>58</v>
      </c>
      <c r="G84" s="170"/>
      <c r="H84" s="8" t="s">
        <v>59</v>
      </c>
      <c r="I84" s="24" t="s">
        <v>60</v>
      </c>
      <c r="J84" s="8" t="s">
        <v>1</v>
      </c>
      <c r="K84" s="163">
        <f>D97</f>
        <v>0.23857353032617437</v>
      </c>
      <c r="L84" s="163"/>
      <c r="M84" s="9" t="s">
        <v>69</v>
      </c>
      <c r="N84" s="160" t="str">
        <f>IF(D84&gt;K84,"Cumple","No cumple")</f>
        <v>Cumple</v>
      </c>
      <c r="O84" s="160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18"/>
      <c r="AF84" s="18"/>
      <c r="AG84" s="18"/>
      <c r="AH84" s="18"/>
      <c r="AI84" s="18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</row>
    <row r="85" spans="1:51" ht="9.75" customHeight="1">
      <c r="A85" s="29"/>
      <c r="B85" s="32"/>
      <c r="C85" s="9"/>
      <c r="D85" s="33"/>
      <c r="E85" s="33"/>
      <c r="F85" s="34"/>
      <c r="G85" s="34"/>
      <c r="H85" s="8"/>
      <c r="I85" s="24" t="s">
        <v>60</v>
      </c>
      <c r="J85" s="158" t="s">
        <v>1</v>
      </c>
      <c r="K85" s="163">
        <f>D97*E10</f>
        <v>0.35786029548926157</v>
      </c>
      <c r="L85" s="163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18"/>
      <c r="AF85" s="18"/>
      <c r="AG85" s="18"/>
      <c r="AH85" s="18"/>
      <c r="AI85" s="18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</row>
    <row r="86" spans="1:51" ht="14.25" customHeight="1">
      <c r="A86" s="29" t="s">
        <v>45</v>
      </c>
      <c r="B86" s="30" t="s">
        <v>63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18"/>
      <c r="AF86" s="18"/>
      <c r="AG86" s="18"/>
      <c r="AH86" s="18"/>
      <c r="AI86" s="18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</row>
    <row r="87" spans="1:51" ht="14.25" customHeight="1">
      <c r="A87" s="8"/>
      <c r="B87" s="164" t="s">
        <v>64</v>
      </c>
      <c r="C87" s="165"/>
      <c r="D87" s="165"/>
      <c r="E87" s="165"/>
      <c r="F87" s="48">
        <v>18.13</v>
      </c>
      <c r="G87" s="49" t="s">
        <v>13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18"/>
      <c r="AF87" s="18"/>
      <c r="AG87" s="18"/>
      <c r="AH87" s="18"/>
      <c r="AI87" s="18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</row>
    <row r="88" spans="1:51" ht="9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18"/>
      <c r="AF88" s="18"/>
      <c r="AG88" s="18"/>
      <c r="AH88" s="18"/>
      <c r="AI88" s="18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</row>
    <row r="89" spans="1:51" ht="14.25" customHeight="1">
      <c r="A89" s="29" t="s">
        <v>45</v>
      </c>
      <c r="B89" s="30" t="s">
        <v>65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18"/>
      <c r="AF89" s="18"/>
      <c r="AG89" s="18"/>
      <c r="AH89" s="18"/>
      <c r="AI89" s="18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</row>
    <row r="90" spans="1:51" ht="14.25" customHeight="1">
      <c r="A90" s="8"/>
      <c r="B90" s="164" t="s">
        <v>64</v>
      </c>
      <c r="C90" s="165"/>
      <c r="D90" s="165"/>
      <c r="E90" s="165"/>
      <c r="F90" s="50">
        <v>0</v>
      </c>
      <c r="G90" s="3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18"/>
      <c r="AF90" s="18"/>
      <c r="AG90" s="18"/>
      <c r="AH90" s="18"/>
      <c r="AI90" s="18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</row>
    <row r="91" spans="1:51" ht="9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18"/>
      <c r="AF91" s="18"/>
      <c r="AG91" s="18"/>
      <c r="AH91" s="18"/>
      <c r="AI91" s="18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</row>
    <row r="92" spans="1:51" ht="14.25" customHeight="1">
      <c r="A92" s="29" t="s">
        <v>45</v>
      </c>
      <c r="B92" s="30" t="s">
        <v>66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18"/>
      <c r="AF92" s="18"/>
      <c r="AG92" s="18"/>
      <c r="AH92" s="18"/>
      <c r="AI92" s="18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</row>
    <row r="93" spans="1:51" ht="14.25" customHeight="1">
      <c r="A93" s="8"/>
      <c r="B93" s="164" t="s">
        <v>64</v>
      </c>
      <c r="C93" s="165"/>
      <c r="D93" s="165"/>
      <c r="E93" s="165"/>
      <c r="F93" s="166">
        <f>DEGREES(ATAN(((F62-F72-F77-D84-F82)/(S46-F67-F41))))</f>
        <v>16.699244233993625</v>
      </c>
      <c r="G93" s="167" t="s">
        <v>13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18"/>
      <c r="AF93" s="18"/>
      <c r="AG93" s="18"/>
      <c r="AH93" s="18"/>
      <c r="AI93" s="18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</row>
    <row r="94" spans="1:51" ht="9" customHeight="1">
      <c r="A94" s="8"/>
      <c r="B94" s="34"/>
      <c r="C94" s="34"/>
      <c r="D94" s="34"/>
      <c r="E94" s="34"/>
      <c r="F94" s="36"/>
      <c r="G94" s="3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18"/>
      <c r="AF94" s="18"/>
      <c r="AG94" s="18"/>
      <c r="AH94" s="18"/>
      <c r="AI94" s="18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</row>
    <row r="95" spans="1:51">
      <c r="A95" s="29" t="s">
        <v>45</v>
      </c>
      <c r="B95" s="30" t="s">
        <v>67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18"/>
      <c r="AF95" s="18"/>
      <c r="AG95" s="18"/>
      <c r="AH95" s="18"/>
      <c r="AI95" s="18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</row>
    <row r="96" spans="1:51">
      <c r="A96" s="29"/>
      <c r="B96" s="30"/>
      <c r="C96" s="9" t="s">
        <v>1</v>
      </c>
      <c r="D96" s="37" t="s">
        <v>68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18"/>
      <c r="AF96" s="18"/>
      <c r="AG96" s="18"/>
      <c r="AH96" s="18"/>
      <c r="AI96" s="18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</row>
    <row r="97" spans="1:51">
      <c r="A97" s="8"/>
      <c r="B97" s="8"/>
      <c r="C97" s="9" t="s">
        <v>1</v>
      </c>
      <c r="D97" s="38">
        <f>((200+0.0017*F87*1000+0.0067*S46)*(1+0.00012*F93^2))/1000</f>
        <v>0.23857353032617437</v>
      </c>
      <c r="E97" s="8" t="s">
        <v>13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18"/>
      <c r="AF97" s="18"/>
      <c r="AG97" s="18"/>
      <c r="AH97" s="18"/>
      <c r="AI97" s="18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</row>
    <row r="98" spans="1:5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18"/>
      <c r="AF98" s="18"/>
      <c r="AG98" s="18"/>
      <c r="AH98" s="18"/>
      <c r="AI98" s="18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</row>
    <row r="99" spans="1:51">
      <c r="A99" s="8"/>
      <c r="B99" s="8"/>
      <c r="C99" s="8"/>
      <c r="D99" s="8"/>
      <c r="E99" s="8"/>
      <c r="F99" s="8"/>
      <c r="G99" s="24" t="s">
        <v>37</v>
      </c>
      <c r="H99" s="8" t="s">
        <v>1</v>
      </c>
      <c r="I99" s="162">
        <f>0.25*K27</f>
        <v>1400</v>
      </c>
      <c r="J99" s="162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18"/>
      <c r="AF99" s="18"/>
      <c r="AG99" s="18"/>
      <c r="AH99" s="18"/>
      <c r="AI99" s="18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</row>
    <row r="100" spans="1:5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18"/>
      <c r="AF100" s="18"/>
      <c r="AG100" s="18"/>
      <c r="AH100" s="18"/>
      <c r="AI100" s="18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</row>
    <row r="101" spans="1:51">
      <c r="A101" s="8"/>
      <c r="B101" s="8"/>
      <c r="C101" s="8"/>
      <c r="D101" s="8"/>
      <c r="E101" s="8"/>
      <c r="F101" s="8"/>
      <c r="G101" s="24" t="s">
        <v>17</v>
      </c>
      <c r="H101" s="8" t="s">
        <v>1</v>
      </c>
      <c r="I101" s="162">
        <f>H20</f>
        <v>2250</v>
      </c>
      <c r="J101" s="162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18"/>
      <c r="AF101" s="18"/>
      <c r="AG101" s="18"/>
      <c r="AH101" s="18"/>
      <c r="AI101" s="18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</row>
    <row r="102" spans="1:51">
      <c r="A102" s="8"/>
      <c r="B102" s="8"/>
      <c r="C102" s="8"/>
      <c r="D102" s="163">
        <f>F37</f>
        <v>1.8</v>
      </c>
      <c r="E102" s="163"/>
      <c r="F102" s="8"/>
      <c r="G102" s="24" t="s">
        <v>18</v>
      </c>
      <c r="H102" s="8" t="s">
        <v>1</v>
      </c>
      <c r="I102" s="162">
        <f>H21</f>
        <v>66</v>
      </c>
      <c r="J102" s="162"/>
      <c r="K102" s="24"/>
      <c r="L102" s="37" t="s">
        <v>130</v>
      </c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18"/>
      <c r="AF102" s="18"/>
      <c r="AG102" s="18"/>
      <c r="AH102" s="18"/>
      <c r="AI102" s="18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</row>
    <row r="103" spans="1:51">
      <c r="A103" s="8"/>
      <c r="B103" s="8"/>
      <c r="C103" s="8"/>
      <c r="D103" s="8"/>
      <c r="E103" s="8"/>
      <c r="F103" s="8"/>
      <c r="G103" s="24" t="s">
        <v>34</v>
      </c>
      <c r="H103" s="8" t="s">
        <v>1</v>
      </c>
      <c r="I103" s="162">
        <f>H31+H32</f>
        <v>18420.5</v>
      </c>
      <c r="J103" s="162"/>
      <c r="K103" s="24"/>
      <c r="L103" s="8"/>
      <c r="M103" s="8" t="s">
        <v>131</v>
      </c>
      <c r="N103" s="220">
        <f>F178</f>
        <v>0.79</v>
      </c>
      <c r="O103" s="220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18"/>
      <c r="AF103" s="18"/>
      <c r="AG103" s="18"/>
      <c r="AH103" s="18"/>
      <c r="AI103" s="18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</row>
    <row r="104" spans="1:51" ht="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171" t="s">
        <v>121</v>
      </c>
      <c r="L104" s="171"/>
      <c r="M104" s="8"/>
      <c r="N104" s="8"/>
      <c r="O104" s="8" t="s">
        <v>132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18"/>
      <c r="AF104" s="18"/>
      <c r="AG104" s="18"/>
      <c r="AH104" s="18"/>
      <c r="AI104" s="18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</row>
    <row r="105" spans="1:51" ht="25.5" customHeight="1">
      <c r="A105" s="8"/>
      <c r="B105" s="8"/>
      <c r="C105" s="8"/>
      <c r="D105" s="160"/>
      <c r="E105" s="160"/>
      <c r="F105" s="160"/>
      <c r="G105" s="8"/>
      <c r="H105" s="8"/>
      <c r="I105" s="8"/>
      <c r="J105" s="8"/>
      <c r="K105" s="8"/>
      <c r="L105" s="8"/>
      <c r="M105" s="25"/>
      <c r="N105" s="8"/>
      <c r="O105" s="8"/>
      <c r="P105" s="190">
        <f>P40</f>
        <v>0.3</v>
      </c>
      <c r="Q105" s="190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18"/>
      <c r="AF105" s="18"/>
      <c r="AG105" s="18"/>
      <c r="AH105" s="18"/>
      <c r="AI105" s="18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</row>
    <row r="106" spans="1:51">
      <c r="A106" s="8"/>
      <c r="B106" s="26" t="s">
        <v>35</v>
      </c>
      <c r="C106" s="8" t="s">
        <v>1</v>
      </c>
      <c r="D106" s="162">
        <v>150</v>
      </c>
      <c r="E106" s="162"/>
      <c r="F106" s="163">
        <v>0.9</v>
      </c>
      <c r="G106" s="163"/>
      <c r="H106" s="8" t="s">
        <v>317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18"/>
      <c r="AF106" s="18"/>
      <c r="AG106" s="18"/>
      <c r="AH106" s="18"/>
      <c r="AI106" s="18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</row>
    <row r="107" spans="1:51" ht="18.75" customHeight="1">
      <c r="A107" s="176" t="s">
        <v>36</v>
      </c>
      <c r="B107" s="176"/>
      <c r="C107" s="8" t="s">
        <v>1</v>
      </c>
      <c r="D107" s="162">
        <v>900</v>
      </c>
      <c r="E107" s="162"/>
      <c r="F107" s="8"/>
      <c r="G107" s="8"/>
      <c r="H107" s="8" t="s">
        <v>317</v>
      </c>
      <c r="I107" s="8"/>
      <c r="J107" s="8"/>
      <c r="K107" s="171" t="s">
        <v>120</v>
      </c>
      <c r="L107" s="171"/>
      <c r="M107" s="8"/>
      <c r="N107" s="8"/>
      <c r="O107" s="8"/>
      <c r="P107" s="8"/>
      <c r="Q107" s="39" t="s">
        <v>122</v>
      </c>
      <c r="R107" s="40" t="s">
        <v>1</v>
      </c>
      <c r="S107" s="228">
        <f>E164</f>
        <v>1318.5211910744092</v>
      </c>
      <c r="T107" s="228"/>
      <c r="U107" s="228"/>
      <c r="V107" s="8"/>
      <c r="W107" s="8"/>
      <c r="X107" s="8"/>
      <c r="Y107" s="8"/>
      <c r="Z107" s="8"/>
      <c r="AA107" s="8"/>
      <c r="AB107" s="8"/>
      <c r="AC107" s="8"/>
      <c r="AD107" s="8"/>
      <c r="AE107" s="18"/>
      <c r="AF107" s="18"/>
      <c r="AG107" s="18"/>
      <c r="AH107" s="18"/>
      <c r="AI107" s="18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</row>
    <row r="108" spans="1:51">
      <c r="A108" s="8"/>
      <c r="B108" s="8"/>
      <c r="C108" s="8"/>
      <c r="D108" s="8"/>
      <c r="E108" s="8"/>
      <c r="F108" s="163">
        <f>F106/2</f>
        <v>0.45</v>
      </c>
      <c r="G108" s="163"/>
      <c r="H108" s="8" t="s">
        <v>318</v>
      </c>
      <c r="I108" s="28">
        <f>D84</f>
        <v>0.4</v>
      </c>
      <c r="J108" s="38">
        <f>F82</f>
        <v>0.32</v>
      </c>
      <c r="K108" s="8"/>
      <c r="L108" s="8"/>
      <c r="M108" s="8"/>
      <c r="N108" s="8"/>
      <c r="O108" s="8"/>
      <c r="P108" s="8"/>
      <c r="Q108" s="39"/>
      <c r="R108" s="41"/>
      <c r="S108" s="18"/>
      <c r="T108" s="18"/>
      <c r="U108" s="18"/>
      <c r="V108" s="8"/>
      <c r="W108" s="8"/>
      <c r="X108" s="8"/>
      <c r="Y108" s="8"/>
      <c r="Z108" s="8"/>
      <c r="AA108" s="8"/>
      <c r="AB108" s="8"/>
      <c r="AC108" s="8"/>
      <c r="AD108" s="8"/>
      <c r="AE108" s="18"/>
      <c r="AF108" s="18"/>
      <c r="AG108" s="18"/>
      <c r="AH108" s="18"/>
      <c r="AI108" s="18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</row>
    <row r="109" spans="1:51" ht="15">
      <c r="A109" s="8"/>
      <c r="B109" s="8"/>
      <c r="C109" s="8"/>
      <c r="D109" s="8"/>
      <c r="E109" s="8"/>
      <c r="F109" s="8"/>
      <c r="G109" s="225">
        <f>F93</f>
        <v>16.699244233993625</v>
      </c>
      <c r="H109" s="225"/>
      <c r="I109" s="8"/>
      <c r="J109" s="8"/>
      <c r="K109" s="8"/>
      <c r="L109" s="8"/>
      <c r="M109" s="8"/>
      <c r="N109" s="8"/>
      <c r="O109" s="8"/>
      <c r="P109" s="8"/>
      <c r="Q109" s="39" t="s">
        <v>123</v>
      </c>
      <c r="R109" s="40" t="s">
        <v>1</v>
      </c>
      <c r="S109" s="227">
        <f>E167</f>
        <v>782.3503902735813</v>
      </c>
      <c r="T109" s="171"/>
      <c r="U109" s="171"/>
      <c r="V109" s="8"/>
      <c r="W109" s="8"/>
      <c r="X109" s="8"/>
      <c r="Y109" s="8"/>
      <c r="Z109" s="8"/>
      <c r="AA109" s="8"/>
      <c r="AB109" s="8"/>
      <c r="AC109" s="8"/>
      <c r="AD109" s="8"/>
      <c r="AE109" s="18"/>
      <c r="AF109" s="18"/>
      <c r="AG109" s="18"/>
      <c r="AH109" s="18"/>
      <c r="AI109" s="18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</row>
    <row r="110" spans="1:51">
      <c r="A110" s="8"/>
      <c r="B110" s="8"/>
      <c r="C110" s="8"/>
      <c r="D110" s="8"/>
      <c r="E110" s="8"/>
      <c r="F110" s="8"/>
      <c r="G110" s="8"/>
      <c r="H110" s="8" t="s">
        <v>318</v>
      </c>
      <c r="I110" s="8"/>
      <c r="J110" s="8"/>
      <c r="K110" s="8"/>
      <c r="L110" s="8"/>
      <c r="M110" s="8"/>
      <c r="N110" s="8"/>
      <c r="O110" s="8"/>
      <c r="P110" s="8"/>
      <c r="Q110" s="39"/>
      <c r="R110" s="41"/>
      <c r="S110" s="18"/>
      <c r="T110" s="18"/>
      <c r="U110" s="18"/>
      <c r="V110" s="8"/>
      <c r="W110" s="8"/>
      <c r="X110" s="8"/>
      <c r="Y110" s="8"/>
      <c r="Z110" s="8"/>
      <c r="AA110" s="8"/>
      <c r="AB110" s="8"/>
      <c r="AC110" s="8"/>
      <c r="AD110" s="8"/>
      <c r="AE110" s="18"/>
      <c r="AF110" s="18"/>
      <c r="AG110" s="18"/>
      <c r="AH110" s="18"/>
      <c r="AI110" s="18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</row>
    <row r="111" spans="1:51" ht="15">
      <c r="A111" s="29" t="s">
        <v>70</v>
      </c>
      <c r="B111" s="163">
        <v>4.0999999999999996</v>
      </c>
      <c r="C111" s="163"/>
      <c r="D111" s="42"/>
      <c r="E111" s="8"/>
      <c r="F111" s="8"/>
      <c r="G111" s="8"/>
      <c r="H111" s="8" t="s">
        <v>318</v>
      </c>
      <c r="I111" s="8"/>
      <c r="J111" s="8"/>
      <c r="K111" s="8"/>
      <c r="L111" s="24"/>
      <c r="M111" s="24"/>
      <c r="N111" s="24"/>
      <c r="O111" s="24"/>
      <c r="P111" s="8"/>
      <c r="Q111" s="39" t="s">
        <v>124</v>
      </c>
      <c r="R111" s="40" t="s">
        <v>1</v>
      </c>
      <c r="S111" s="228">
        <f>E170</f>
        <v>3171.1269152422497</v>
      </c>
      <c r="T111" s="228"/>
      <c r="U111" s="228"/>
      <c r="V111" s="8"/>
      <c r="W111" s="8"/>
      <c r="X111" s="8"/>
      <c r="Y111" s="8"/>
      <c r="Z111" s="8"/>
      <c r="AA111" s="8"/>
      <c r="AB111" s="8"/>
      <c r="AC111" s="8"/>
      <c r="AD111" s="8"/>
      <c r="AE111" s="18"/>
      <c r="AF111" s="18"/>
      <c r="AG111" s="18"/>
      <c r="AH111" s="18"/>
      <c r="AI111" s="18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</row>
    <row r="112" spans="1:51">
      <c r="A112" s="24"/>
      <c r="B112" s="24"/>
      <c r="C112" s="42"/>
      <c r="D112" s="42"/>
      <c r="E112" s="8"/>
      <c r="F112" s="8"/>
      <c r="G112" s="8"/>
      <c r="H112" s="8" t="s">
        <v>317</v>
      </c>
      <c r="I112" s="8"/>
      <c r="J112" s="27"/>
      <c r="K112" s="8"/>
      <c r="L112" s="8"/>
      <c r="M112" s="8"/>
      <c r="N112" s="10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18"/>
      <c r="AF112" s="18"/>
      <c r="AG112" s="18"/>
      <c r="AH112" s="18"/>
      <c r="AI112" s="18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</row>
    <row r="113" spans="1:51" ht="15">
      <c r="A113" s="8"/>
      <c r="B113" s="8"/>
      <c r="C113" s="8"/>
      <c r="D113" s="8"/>
      <c r="E113" s="8"/>
      <c r="F113" s="38">
        <f>F72</f>
        <v>0.5</v>
      </c>
      <c r="G113" s="37">
        <f>(C115/(TAN(RADIANS(90-G109))))</f>
        <v>0.27000000000000018</v>
      </c>
      <c r="H113" s="27" t="s">
        <v>317</v>
      </c>
      <c r="I113" s="27"/>
      <c r="J113" s="27"/>
      <c r="K113" s="43" t="s">
        <v>119</v>
      </c>
      <c r="L113" s="8"/>
      <c r="M113" s="8"/>
      <c r="N113" s="10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18"/>
      <c r="AF113" s="18"/>
      <c r="AG113" s="18"/>
      <c r="AH113" s="18"/>
      <c r="AI113" s="18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</row>
    <row r="114" spans="1:51" ht="15">
      <c r="A114" s="8"/>
      <c r="B114" s="8"/>
      <c r="C114" s="8"/>
      <c r="D114" s="8"/>
      <c r="E114" s="8"/>
      <c r="F114" s="8"/>
      <c r="G114" s="8"/>
      <c r="H114" s="27" t="s">
        <v>318</v>
      </c>
      <c r="I114" s="43" t="s">
        <v>116</v>
      </c>
      <c r="J114" s="44"/>
      <c r="K114" s="44"/>
      <c r="L114" s="8"/>
      <c r="M114" s="8"/>
      <c r="N114" s="2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18"/>
      <c r="AF114" s="18"/>
      <c r="AG114" s="18"/>
      <c r="AH114" s="18"/>
      <c r="AI114" s="18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</row>
    <row r="115" spans="1:51">
      <c r="A115" s="8"/>
      <c r="B115" s="8"/>
      <c r="C115" s="191">
        <f>C51-C117</f>
        <v>0.9</v>
      </c>
      <c r="D115" s="191"/>
      <c r="E115" s="8"/>
      <c r="F115" s="8"/>
      <c r="G115" s="8"/>
      <c r="H115" s="8" t="s">
        <v>318</v>
      </c>
      <c r="I115" s="8"/>
      <c r="J115" s="8"/>
      <c r="K115" s="38">
        <f>F77</f>
        <v>0.5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18"/>
      <c r="AF115" s="18"/>
      <c r="AG115" s="18"/>
      <c r="AH115" s="18"/>
      <c r="AI115" s="18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</row>
    <row r="116" spans="1:51" ht="15">
      <c r="A116" s="8"/>
      <c r="B116" s="8"/>
      <c r="C116" s="191"/>
      <c r="D116" s="191"/>
      <c r="E116" s="8"/>
      <c r="F116" s="8"/>
      <c r="G116" s="45" t="s">
        <v>117</v>
      </c>
      <c r="H116" s="8" t="s">
        <v>318</v>
      </c>
      <c r="I116" s="46"/>
      <c r="J116" s="46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18"/>
      <c r="AF116" s="18"/>
      <c r="AG116" s="18"/>
      <c r="AH116" s="18"/>
      <c r="AI116" s="18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</row>
    <row r="117" spans="1:51" ht="15">
      <c r="A117" s="8"/>
      <c r="B117" s="8"/>
      <c r="C117" s="191">
        <f>F67</f>
        <v>0.6</v>
      </c>
      <c r="D117" s="191"/>
      <c r="E117" s="8"/>
      <c r="F117" s="43" t="s">
        <v>118</v>
      </c>
      <c r="G117" s="8"/>
      <c r="H117" s="8" t="s">
        <v>317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18"/>
      <c r="AF117" s="18"/>
      <c r="AG117" s="18"/>
      <c r="AH117" s="18"/>
      <c r="AI117" s="18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</row>
    <row r="118" spans="1:5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8"/>
      <c r="AF118" s="18"/>
      <c r="AG118" s="18"/>
      <c r="AH118" s="18"/>
      <c r="AI118" s="18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</row>
    <row r="119" spans="1:51">
      <c r="A119" s="8"/>
      <c r="B119" s="8"/>
      <c r="C119" s="8"/>
      <c r="D119" s="8"/>
      <c r="E119" s="8"/>
      <c r="F119" s="163">
        <f>+F62</f>
        <v>2.5</v>
      </c>
      <c r="G119" s="163"/>
      <c r="H119" s="163"/>
      <c r="I119" s="163"/>
      <c r="J119" s="163"/>
      <c r="K119" s="163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8"/>
      <c r="AF119" s="18"/>
      <c r="AG119" s="18"/>
      <c r="AH119" s="18"/>
      <c r="AI119" s="18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</row>
    <row r="120" spans="1:51">
      <c r="A120" s="8"/>
      <c r="B120" s="8"/>
      <c r="C120" s="8"/>
      <c r="D120" s="8"/>
      <c r="E120" s="8"/>
      <c r="F120" s="8"/>
      <c r="G120" s="163">
        <f>F119-I120-J120-K115-F113</f>
        <v>0.78</v>
      </c>
      <c r="H120" s="163"/>
      <c r="I120" s="47">
        <f>I108</f>
        <v>0.4</v>
      </c>
      <c r="J120" s="38">
        <f>J108</f>
        <v>0.32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8"/>
      <c r="AF120" s="18"/>
      <c r="AG120" s="18"/>
      <c r="AH120" s="18"/>
      <c r="AI120" s="18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</row>
    <row r="121" spans="1:51">
      <c r="A121" s="8"/>
      <c r="B121" s="8"/>
      <c r="C121" s="8"/>
      <c r="D121" s="8"/>
      <c r="E121" s="8"/>
      <c r="F121" s="8"/>
      <c r="G121" s="8"/>
      <c r="H121" s="8" t="s">
        <v>318</v>
      </c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8"/>
      <c r="AF121" s="18"/>
      <c r="AG121" s="18"/>
      <c r="AH121" s="18"/>
      <c r="AI121" s="18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</row>
    <row r="122" spans="1:51">
      <c r="A122" s="4"/>
      <c r="B122" s="6" t="s">
        <v>74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18"/>
      <c r="AF122" s="18"/>
      <c r="AG122" s="18"/>
      <c r="AH122" s="18"/>
      <c r="AI122" s="18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</row>
    <row r="123" spans="1:51" ht="9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18"/>
      <c r="AF123" s="18"/>
      <c r="AG123" s="18"/>
      <c r="AH123" s="18"/>
      <c r="AI123" s="18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</row>
    <row r="124" spans="1:51" ht="15" customHeight="1">
      <c r="A124" s="8"/>
      <c r="B124" s="51" t="s">
        <v>77</v>
      </c>
      <c r="C124" s="52" t="s">
        <v>78</v>
      </c>
      <c r="D124" s="53"/>
      <c r="E124" s="53"/>
      <c r="F124" s="53"/>
      <c r="G124" s="53"/>
      <c r="H124" s="53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8"/>
      <c r="W124" s="8"/>
      <c r="X124" s="8"/>
      <c r="Y124" s="8"/>
      <c r="Z124" s="8"/>
      <c r="AA124" s="8"/>
      <c r="AB124" s="8"/>
      <c r="AC124" s="8"/>
      <c r="AD124" s="8"/>
      <c r="AE124" s="18"/>
      <c r="AF124" s="18"/>
      <c r="AG124" s="18"/>
      <c r="AH124" s="18"/>
      <c r="AI124" s="18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</row>
    <row r="125" spans="1:51" ht="9.75" customHeight="1">
      <c r="A125" s="8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8"/>
      <c r="W125" s="8"/>
      <c r="X125" s="8"/>
      <c r="Y125" s="8"/>
      <c r="Z125" s="8"/>
      <c r="AA125" s="8"/>
      <c r="AB125" s="8"/>
      <c r="AC125" s="8"/>
      <c r="AD125" s="8"/>
      <c r="AE125" s="18"/>
      <c r="AF125" s="18"/>
      <c r="AG125" s="18"/>
      <c r="AH125" s="18"/>
      <c r="AI125" s="18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</row>
    <row r="126" spans="1:51" ht="15">
      <c r="A126" s="8"/>
      <c r="B126" s="54"/>
      <c r="C126" s="55" t="s">
        <v>6</v>
      </c>
      <c r="D126" s="55" t="s">
        <v>1</v>
      </c>
      <c r="E126" s="224" t="s">
        <v>80</v>
      </c>
      <c r="F126" s="224"/>
      <c r="G126" s="224"/>
      <c r="H126" s="224"/>
      <c r="I126" s="224"/>
      <c r="J126" s="224"/>
      <c r="K126" s="224"/>
      <c r="L126" s="224"/>
      <c r="M126" s="8" t="s">
        <v>1</v>
      </c>
      <c r="N126" s="10">
        <f>D7</f>
        <v>32</v>
      </c>
      <c r="O126" s="8"/>
      <c r="P126" s="54"/>
      <c r="Q126" s="54"/>
      <c r="R126" s="54"/>
      <c r="S126" s="54"/>
      <c r="T126" s="56"/>
      <c r="U126" s="56"/>
      <c r="V126" s="8"/>
      <c r="W126" s="8"/>
      <c r="X126" s="8"/>
      <c r="Y126" s="8"/>
      <c r="Z126" s="8"/>
      <c r="AA126" s="8"/>
      <c r="AB126" s="8"/>
      <c r="AC126" s="8"/>
      <c r="AD126" s="8"/>
      <c r="AE126" s="18"/>
      <c r="AF126" s="18"/>
      <c r="AG126" s="18"/>
      <c r="AH126" s="18"/>
      <c r="AI126" s="18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</row>
    <row r="127" spans="1:51">
      <c r="A127" s="8"/>
      <c r="B127" s="54"/>
      <c r="C127" s="55" t="s">
        <v>5</v>
      </c>
      <c r="D127" s="55" t="s">
        <v>1</v>
      </c>
      <c r="E127" s="224" t="s">
        <v>81</v>
      </c>
      <c r="F127" s="224"/>
      <c r="G127" s="224"/>
      <c r="H127" s="224"/>
      <c r="I127" s="224"/>
      <c r="J127" s="224"/>
      <c r="K127" s="224"/>
      <c r="L127" s="224"/>
      <c r="M127" s="8" t="s">
        <v>1</v>
      </c>
      <c r="N127" s="10">
        <f>D8</f>
        <v>24</v>
      </c>
      <c r="O127" s="43"/>
      <c r="P127" s="54"/>
      <c r="Q127" s="54"/>
      <c r="R127" s="54"/>
      <c r="S127" s="54"/>
      <c r="T127" s="56"/>
      <c r="U127" s="56"/>
      <c r="V127" s="8"/>
      <c r="W127" s="8"/>
      <c r="X127" s="8"/>
      <c r="Y127" s="8"/>
      <c r="Z127" s="8"/>
      <c r="AA127" s="8"/>
      <c r="AB127" s="8"/>
      <c r="AC127" s="8"/>
      <c r="AD127" s="8"/>
      <c r="AE127" s="18"/>
      <c r="AF127" s="18"/>
      <c r="AG127" s="18"/>
      <c r="AH127" s="18"/>
      <c r="AI127" s="18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</row>
    <row r="128" spans="1:51">
      <c r="A128" s="8"/>
      <c r="B128" s="54"/>
      <c r="C128" s="31" t="s">
        <v>75</v>
      </c>
      <c r="D128" s="55" t="s">
        <v>1</v>
      </c>
      <c r="E128" s="224" t="s">
        <v>82</v>
      </c>
      <c r="F128" s="224"/>
      <c r="G128" s="224"/>
      <c r="H128" s="224"/>
      <c r="I128" s="224"/>
      <c r="J128" s="224"/>
      <c r="K128" s="224"/>
      <c r="L128" s="224"/>
      <c r="M128" s="8" t="s">
        <v>1</v>
      </c>
      <c r="N128" s="10">
        <v>0</v>
      </c>
      <c r="O128" s="43"/>
      <c r="P128" s="54"/>
      <c r="Q128" s="54"/>
      <c r="R128" s="54"/>
      <c r="S128" s="54"/>
      <c r="T128" s="56"/>
      <c r="U128" s="56"/>
      <c r="V128" s="8"/>
      <c r="W128" s="8"/>
      <c r="X128" s="8"/>
      <c r="Y128" s="8"/>
      <c r="Z128" s="8"/>
      <c r="AA128" s="8"/>
      <c r="AB128" s="8"/>
      <c r="AC128" s="8"/>
      <c r="AD128" s="8"/>
      <c r="AE128" s="18"/>
      <c r="AF128" s="18"/>
      <c r="AG128" s="18"/>
      <c r="AH128" s="18"/>
      <c r="AI128" s="18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</row>
    <row r="129" spans="1:51">
      <c r="A129" s="8"/>
      <c r="B129" s="57"/>
      <c r="C129" s="55" t="s">
        <v>76</v>
      </c>
      <c r="D129" s="55" t="s">
        <v>1</v>
      </c>
      <c r="E129" s="224" t="s">
        <v>79</v>
      </c>
      <c r="F129" s="224"/>
      <c r="G129" s="224"/>
      <c r="H129" s="224"/>
      <c r="I129" s="224"/>
      <c r="J129" s="224"/>
      <c r="K129" s="224"/>
      <c r="L129" s="224"/>
      <c r="M129" s="8" t="s">
        <v>1</v>
      </c>
      <c r="N129" s="10">
        <v>90</v>
      </c>
      <c r="O129" s="43"/>
      <c r="P129" s="54"/>
      <c r="Q129" s="54"/>
      <c r="R129" s="54"/>
      <c r="S129" s="54"/>
      <c r="T129" s="58"/>
      <c r="U129" s="59"/>
      <c r="V129" s="8"/>
      <c r="W129" s="8"/>
      <c r="X129" s="8"/>
      <c r="Y129" s="8"/>
      <c r="Z129" s="8"/>
      <c r="AA129" s="8"/>
      <c r="AB129" s="8"/>
      <c r="AC129" s="8"/>
      <c r="AD129" s="8"/>
      <c r="AE129" s="18"/>
      <c r="AF129" s="18"/>
      <c r="AG129" s="18"/>
      <c r="AH129" s="18"/>
      <c r="AI129" s="18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</row>
    <row r="130" spans="1:5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18"/>
      <c r="AF130" s="18"/>
      <c r="AG130" s="18"/>
      <c r="AH130" s="18"/>
      <c r="AI130" s="18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</row>
    <row r="131" spans="1:5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18"/>
      <c r="AF131" s="18"/>
      <c r="AG131" s="18"/>
      <c r="AH131" s="18"/>
      <c r="AI131" s="18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</row>
    <row r="132" spans="1:5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18"/>
      <c r="AF132" s="18"/>
      <c r="AG132" s="18"/>
      <c r="AH132" s="18"/>
      <c r="AI132" s="18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</row>
    <row r="133" spans="1:5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18"/>
      <c r="AF133" s="18"/>
      <c r="AG133" s="18"/>
      <c r="AH133" s="18"/>
      <c r="AI133" s="18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</row>
    <row r="134" spans="1:5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18"/>
      <c r="AF134" s="18"/>
      <c r="AG134" s="18"/>
      <c r="AH134" s="18"/>
      <c r="AI134" s="18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</row>
    <row r="135" spans="1:51">
      <c r="A135" s="8"/>
      <c r="B135" s="8"/>
      <c r="C135" s="37" t="s">
        <v>83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18"/>
      <c r="AF135" s="18"/>
      <c r="AG135" s="18"/>
      <c r="AH135" s="18"/>
      <c r="AI135" s="18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</row>
    <row r="136" spans="1:51">
      <c r="A136" s="8"/>
      <c r="B136" s="8"/>
      <c r="C136" s="3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18"/>
      <c r="AF136" s="18"/>
      <c r="AG136" s="18"/>
      <c r="AH136" s="18"/>
      <c r="AI136" s="18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</row>
    <row r="137" spans="1:51">
      <c r="A137" s="8"/>
      <c r="B137" s="8"/>
      <c r="C137" s="3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18"/>
      <c r="AF137" s="18"/>
      <c r="AG137" s="18"/>
      <c r="AH137" s="18"/>
      <c r="AI137" s="18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</row>
    <row r="138" spans="1:51">
      <c r="A138" s="8"/>
      <c r="B138" s="8"/>
      <c r="C138" s="3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18"/>
      <c r="AF138" s="18"/>
      <c r="AG138" s="18"/>
      <c r="AH138" s="18"/>
      <c r="AI138" s="18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</row>
    <row r="139" spans="1:51" ht="8.25" customHeight="1">
      <c r="A139" s="8"/>
      <c r="B139" s="8"/>
      <c r="C139" s="3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18"/>
      <c r="AF139" s="18"/>
      <c r="AG139" s="18"/>
      <c r="AH139" s="18"/>
      <c r="AI139" s="18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</row>
    <row r="140" spans="1:51">
      <c r="A140" s="8"/>
      <c r="B140" s="8"/>
      <c r="C140" s="37" t="s">
        <v>85</v>
      </c>
      <c r="D140" s="60" t="s">
        <v>86</v>
      </c>
      <c r="E140" s="9" t="s">
        <v>1</v>
      </c>
      <c r="F140" s="8" t="s">
        <v>87</v>
      </c>
      <c r="G140" s="8" t="s">
        <v>88</v>
      </c>
      <c r="H140" s="60" t="s">
        <v>317</v>
      </c>
      <c r="I140" s="9" t="s">
        <v>1</v>
      </c>
      <c r="J140" s="8" t="s">
        <v>89</v>
      </c>
      <c r="K140" s="37" t="s">
        <v>90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18"/>
      <c r="AF140" s="18"/>
      <c r="AG140" s="18"/>
      <c r="AH140" s="18"/>
      <c r="AI140" s="18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</row>
    <row r="141" spans="1:51" ht="6.75" customHeight="1" thickBot="1">
      <c r="A141" s="8"/>
      <c r="B141" s="8"/>
      <c r="C141" s="37"/>
      <c r="D141" s="8"/>
      <c r="E141" s="8"/>
      <c r="F141" s="8"/>
      <c r="G141" s="8"/>
      <c r="H141" s="8" t="s">
        <v>318</v>
      </c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18"/>
      <c r="AF141" s="18"/>
      <c r="AG141" s="18"/>
      <c r="AH141" s="18"/>
      <c r="AI141" s="18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</row>
    <row r="142" spans="1:51">
      <c r="A142" s="8"/>
      <c r="B142" s="8"/>
      <c r="C142" s="61"/>
      <c r="D142" s="62"/>
      <c r="E142" s="62"/>
      <c r="F142" s="62"/>
      <c r="G142" s="62"/>
      <c r="H142" s="62" t="s">
        <v>318</v>
      </c>
      <c r="I142" s="63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18"/>
      <c r="AF142" s="18"/>
      <c r="AG142" s="18"/>
      <c r="AH142" s="18"/>
      <c r="AI142" s="18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</row>
    <row r="143" spans="1:51" ht="18.75" customHeight="1">
      <c r="A143" s="8"/>
      <c r="B143" s="8"/>
      <c r="C143" s="64"/>
      <c r="D143" s="65"/>
      <c r="E143" s="65"/>
      <c r="F143" s="65"/>
      <c r="G143" s="65"/>
      <c r="H143" s="65"/>
      <c r="I143" s="66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18"/>
      <c r="AF143" s="18"/>
      <c r="AG143" s="18"/>
      <c r="AH143" s="18"/>
      <c r="AI143" s="18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</row>
    <row r="144" spans="1:51" ht="15" thickBot="1">
      <c r="A144" s="8"/>
      <c r="B144" s="8"/>
      <c r="C144" s="67"/>
      <c r="D144" s="68"/>
      <c r="E144" s="68"/>
      <c r="F144" s="68"/>
      <c r="G144" s="68"/>
      <c r="H144" s="68" t="s">
        <v>318</v>
      </c>
      <c r="I144" s="69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18"/>
      <c r="AF144" s="18"/>
      <c r="AG144" s="18"/>
      <c r="AH144" s="18"/>
      <c r="AI144" s="18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</row>
    <row r="145" spans="1:51" ht="10.5" customHeight="1" thickBo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18"/>
      <c r="AF145" s="18"/>
      <c r="AG145" s="18"/>
      <c r="AH145" s="18"/>
      <c r="AI145" s="18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</row>
    <row r="146" spans="1:51" ht="16.2" thickBot="1">
      <c r="A146" s="8"/>
      <c r="B146" s="8"/>
      <c r="C146" s="87" t="s">
        <v>84</v>
      </c>
      <c r="D146" s="88" t="s">
        <v>1</v>
      </c>
      <c r="E146" s="89">
        <f>(1+(SQRT((SIN(RADIANS(N126+N127))*SIN(RADIANS(N126)))/(COS(RADIANS(N127))))))^2</f>
        <v>2.8678363221887619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18"/>
      <c r="AF146" s="18"/>
      <c r="AG146" s="18"/>
      <c r="AH146" s="18"/>
      <c r="AI146" s="18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</row>
    <row r="147" spans="1:51">
      <c r="A147" s="8"/>
      <c r="B147" s="8"/>
      <c r="C147" s="8"/>
      <c r="D147" s="8"/>
      <c r="E147" s="8"/>
      <c r="F147" s="8"/>
      <c r="G147" s="8"/>
      <c r="H147" s="8" t="s">
        <v>318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18"/>
      <c r="AF147" s="18"/>
      <c r="AG147" s="18"/>
      <c r="AH147" s="18"/>
      <c r="AI147" s="18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</row>
    <row r="148" spans="1:51">
      <c r="A148" s="8"/>
      <c r="B148" s="24"/>
      <c r="C148" s="37" t="s">
        <v>91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18"/>
      <c r="AF148" s="18"/>
      <c r="AG148" s="18"/>
      <c r="AH148" s="18"/>
      <c r="AI148" s="18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</row>
    <row r="149" spans="1:51">
      <c r="A149" s="8"/>
      <c r="B149" s="8"/>
      <c r="C149" s="3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18"/>
      <c r="AF149" s="18"/>
      <c r="AG149" s="18"/>
      <c r="AH149" s="18"/>
      <c r="AI149" s="18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</row>
    <row r="150" spans="1:51">
      <c r="A150" s="8"/>
      <c r="B150" s="8"/>
      <c r="C150" s="3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18"/>
      <c r="AF150" s="18"/>
      <c r="AG150" s="18"/>
      <c r="AH150" s="18"/>
      <c r="AI150" s="18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</row>
    <row r="151" spans="1:51">
      <c r="A151" s="8"/>
      <c r="B151" s="8"/>
      <c r="C151" s="3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18"/>
      <c r="AF151" s="18"/>
      <c r="AG151" s="18"/>
      <c r="AH151" s="18"/>
      <c r="AI151" s="18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</row>
    <row r="152" spans="1:51">
      <c r="A152" s="8"/>
      <c r="B152" s="8"/>
      <c r="C152" s="37" t="s">
        <v>93</v>
      </c>
      <c r="D152" s="60" t="s">
        <v>76</v>
      </c>
      <c r="E152" s="9" t="s">
        <v>1</v>
      </c>
      <c r="F152" s="8" t="s">
        <v>89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18"/>
      <c r="AF152" s="18"/>
      <c r="AG152" s="18"/>
      <c r="AH152" s="18"/>
      <c r="AI152" s="18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</row>
    <row r="153" spans="1:51" ht="9" customHeight="1" thickBo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18"/>
      <c r="AF153" s="18"/>
      <c r="AG153" s="18"/>
      <c r="AH153" s="18"/>
      <c r="AI153" s="18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</row>
    <row r="154" spans="1:51" ht="18" customHeight="1">
      <c r="A154" s="8"/>
      <c r="B154" s="8"/>
      <c r="C154" s="61"/>
      <c r="D154" s="62"/>
      <c r="E154" s="62"/>
      <c r="F154" s="63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18"/>
      <c r="AF154" s="18"/>
      <c r="AG154" s="18"/>
      <c r="AH154" s="18"/>
      <c r="AI154" s="18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</row>
    <row r="155" spans="1:51" ht="18" customHeight="1" thickBot="1">
      <c r="A155" s="8"/>
      <c r="B155" s="8"/>
      <c r="C155" s="67"/>
      <c r="D155" s="68"/>
      <c r="E155" s="68"/>
      <c r="F155" s="69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18"/>
      <c r="AF155" s="18"/>
      <c r="AG155" s="18"/>
      <c r="AH155" s="18"/>
      <c r="AI155" s="18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</row>
    <row r="156" spans="1:51" ht="10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18"/>
      <c r="AF156" s="18"/>
      <c r="AG156" s="18"/>
      <c r="AH156" s="18"/>
      <c r="AI156" s="18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</row>
    <row r="157" spans="1:51">
      <c r="A157" s="8"/>
      <c r="B157" s="8"/>
      <c r="C157" s="223" t="s">
        <v>96</v>
      </c>
      <c r="D157" s="223" t="s">
        <v>1</v>
      </c>
      <c r="E157" s="70"/>
      <c r="F157" s="71"/>
      <c r="G157" s="72" t="s">
        <v>97</v>
      </c>
      <c r="H157" s="73">
        <f>N126</f>
        <v>32</v>
      </c>
      <c r="I157" s="8"/>
      <c r="J157" s="74"/>
      <c r="K157" s="75"/>
      <c r="L157" s="75"/>
      <c r="M157" s="75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18"/>
      <c r="AF157" s="18"/>
      <c r="AG157" s="18"/>
      <c r="AH157" s="18"/>
      <c r="AI157" s="18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</row>
    <row r="158" spans="1:51">
      <c r="A158" s="8"/>
      <c r="B158" s="8"/>
      <c r="C158" s="223"/>
      <c r="D158" s="223"/>
      <c r="E158" s="222">
        <f>E146</f>
        <v>2.8678363221887619</v>
      </c>
      <c r="F158" s="222"/>
      <c r="G158" s="76" t="s">
        <v>94</v>
      </c>
      <c r="H158" s="77" t="s">
        <v>95</v>
      </c>
      <c r="I158" s="78">
        <f>N127</f>
        <v>24</v>
      </c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18"/>
      <c r="AF158" s="18"/>
      <c r="AG158" s="18"/>
      <c r="AH158" s="18"/>
      <c r="AI158" s="18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</row>
    <row r="159" spans="1:51" ht="12" customHeight="1" thickBot="1">
      <c r="A159" s="8"/>
      <c r="B159" s="8"/>
      <c r="C159" s="79"/>
      <c r="D159" s="79"/>
      <c r="E159" s="80"/>
      <c r="F159" s="81"/>
      <c r="G159" s="81"/>
      <c r="H159" s="81"/>
      <c r="I159" s="82"/>
      <c r="J159" s="82"/>
      <c r="K159" s="83"/>
      <c r="L159" s="82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18"/>
      <c r="AF159" s="18"/>
      <c r="AG159" s="18"/>
      <c r="AH159" s="18"/>
      <c r="AI159" s="18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</row>
    <row r="160" spans="1:51" ht="18.600000000000001" thickBot="1">
      <c r="A160" s="8"/>
      <c r="B160" s="8"/>
      <c r="C160" s="87" t="s">
        <v>92</v>
      </c>
      <c r="D160" s="88" t="s">
        <v>1</v>
      </c>
      <c r="E160" s="89">
        <f>(COS(RADIANS(H157))^2)/(E158*COS(RADIANS(I158)))</f>
        <v>0.27450890886792328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18"/>
      <c r="AF160" s="18"/>
      <c r="AG160" s="18"/>
      <c r="AH160" s="18"/>
      <c r="AI160" s="18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</row>
    <row r="161" spans="1:51" ht="10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18"/>
      <c r="AF161" s="18"/>
      <c r="AG161" s="18"/>
      <c r="AH161" s="18"/>
      <c r="AI161" s="18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</row>
    <row r="162" spans="1:51">
      <c r="A162" s="8"/>
      <c r="B162" s="37" t="s">
        <v>125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18"/>
      <c r="AF162" s="18"/>
      <c r="AG162" s="18"/>
      <c r="AH162" s="18"/>
      <c r="AI162" s="18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</row>
    <row r="163" spans="1:51" ht="18">
      <c r="A163" s="8"/>
      <c r="B163" s="60" t="s">
        <v>126</v>
      </c>
      <c r="C163" s="84" t="s">
        <v>92</v>
      </c>
      <c r="D163" s="8" t="s">
        <v>94</v>
      </c>
      <c r="E163" s="24" t="s">
        <v>147</v>
      </c>
      <c r="F163" s="8" t="s">
        <v>94</v>
      </c>
      <c r="G163" s="8" t="s">
        <v>7</v>
      </c>
      <c r="H163" s="9" t="s">
        <v>1</v>
      </c>
      <c r="I163" s="8">
        <f>E160*(N103)*D9</f>
        <v>346.97926080905506</v>
      </c>
      <c r="J163" s="8" t="s">
        <v>27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18"/>
      <c r="AF163" s="18"/>
      <c r="AG163" s="18"/>
      <c r="AH163" s="18"/>
      <c r="AI163" s="18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</row>
    <row r="164" spans="1:51" ht="16.5" customHeight="1">
      <c r="A164" s="8"/>
      <c r="B164" s="8"/>
      <c r="C164" s="41" t="s">
        <v>122</v>
      </c>
      <c r="D164" s="8" t="s">
        <v>1</v>
      </c>
      <c r="E164" s="8">
        <f>(B111-P105)*I163</f>
        <v>1318.5211910744092</v>
      </c>
      <c r="F164" s="8" t="s">
        <v>21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18"/>
      <c r="AF164" s="18"/>
      <c r="AG164" s="18"/>
      <c r="AH164" s="18"/>
      <c r="AI164" s="18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</row>
    <row r="165" spans="1:51" ht="10.5" customHeight="1">
      <c r="A165" s="8"/>
      <c r="B165" s="8"/>
      <c r="C165" s="41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18"/>
      <c r="AF165" s="18"/>
      <c r="AG165" s="18"/>
      <c r="AH165" s="18"/>
      <c r="AI165" s="18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</row>
    <row r="166" spans="1:51" ht="18">
      <c r="A166" s="8"/>
      <c r="B166" s="60" t="s">
        <v>126</v>
      </c>
      <c r="C166" s="84" t="s">
        <v>92</v>
      </c>
      <c r="D166" s="8" t="s">
        <v>94</v>
      </c>
      <c r="E166" s="24" t="s">
        <v>146</v>
      </c>
      <c r="F166" s="8"/>
      <c r="G166" s="8" t="s">
        <v>94</v>
      </c>
      <c r="H166" s="8" t="s">
        <v>41</v>
      </c>
      <c r="I166" s="9" t="s">
        <v>1</v>
      </c>
      <c r="J166" s="28">
        <f>E160*P105*I51</f>
        <v>205.88168165094245</v>
      </c>
      <c r="K166" s="8" t="s">
        <v>27</v>
      </c>
      <c r="L166" s="8"/>
      <c r="M166" s="24"/>
      <c r="N166" s="24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18"/>
      <c r="AF166" s="18"/>
      <c r="AG166" s="18"/>
      <c r="AH166" s="18"/>
      <c r="AI166" s="18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</row>
    <row r="167" spans="1:51" ht="16.5" customHeight="1">
      <c r="A167" s="8"/>
      <c r="B167" s="8"/>
      <c r="C167" s="41" t="s">
        <v>123</v>
      </c>
      <c r="D167" s="8" t="s">
        <v>1</v>
      </c>
      <c r="E167" s="8">
        <f>(B111-P105)*J166</f>
        <v>782.3503902735813</v>
      </c>
      <c r="F167" s="8" t="s">
        <v>21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18"/>
      <c r="AF167" s="18"/>
      <c r="AG167" s="18"/>
      <c r="AH167" s="18"/>
      <c r="AI167" s="18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</row>
    <row r="168" spans="1:51" ht="10.5" customHeight="1">
      <c r="A168" s="8"/>
      <c r="B168" s="8"/>
      <c r="C168" s="41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18"/>
      <c r="AF168" s="18"/>
      <c r="AG168" s="18"/>
      <c r="AH168" s="18"/>
      <c r="AI168" s="18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</row>
    <row r="169" spans="1:51" ht="18">
      <c r="A169" s="8"/>
      <c r="B169" s="60" t="s">
        <v>126</v>
      </c>
      <c r="C169" s="84" t="s">
        <v>92</v>
      </c>
      <c r="D169" s="8" t="s">
        <v>94</v>
      </c>
      <c r="E169" s="160" t="s">
        <v>148</v>
      </c>
      <c r="F169" s="160"/>
      <c r="G169" s="160"/>
      <c r="H169" s="8" t="s">
        <v>94</v>
      </c>
      <c r="I169" s="8" t="s">
        <v>7</v>
      </c>
      <c r="J169" s="9" t="s">
        <v>1</v>
      </c>
      <c r="K169" s="28">
        <f>E160*(B111-P105)*N49</f>
        <v>1669.0141659169735</v>
      </c>
      <c r="L169" s="8" t="s">
        <v>27</v>
      </c>
      <c r="M169" s="24"/>
      <c r="N169" s="24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18"/>
      <c r="AF169" s="18"/>
      <c r="AG169" s="18"/>
      <c r="AH169" s="18"/>
      <c r="AI169" s="18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</row>
    <row r="170" spans="1:51" ht="16.5" customHeight="1">
      <c r="A170" s="8"/>
      <c r="B170" s="8"/>
      <c r="C170" s="41" t="s">
        <v>124</v>
      </c>
      <c r="D170" s="8" t="s">
        <v>1</v>
      </c>
      <c r="E170" s="8">
        <f>0.5*(B111-P105)*K169</f>
        <v>3171.1269152422497</v>
      </c>
      <c r="F170" s="8" t="s">
        <v>21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18"/>
      <c r="AF170" s="18"/>
      <c r="AG170" s="18"/>
      <c r="AH170" s="18"/>
      <c r="AI170" s="18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</row>
    <row r="171" spans="1:51">
      <c r="A171" s="8"/>
      <c r="B171" s="85"/>
      <c r="C171" s="8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18"/>
      <c r="AF171" s="18"/>
      <c r="AG171" s="18"/>
      <c r="AH171" s="18"/>
      <c r="AI171" s="18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</row>
    <row r="172" spans="1:51">
      <c r="A172" s="8"/>
      <c r="B172" s="51" t="s">
        <v>102</v>
      </c>
      <c r="C172" s="52" t="s">
        <v>101</v>
      </c>
      <c r="D172" s="53"/>
      <c r="E172" s="53"/>
      <c r="F172" s="53"/>
      <c r="G172" s="53"/>
      <c r="H172" s="53"/>
      <c r="I172" s="53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7"/>
      <c r="Z172" s="57"/>
      <c r="AA172" s="57"/>
      <c r="AB172" s="57"/>
      <c r="AC172" s="8"/>
      <c r="AD172" s="8"/>
      <c r="AE172" s="18"/>
      <c r="AF172" s="18"/>
      <c r="AG172" s="18"/>
      <c r="AH172" s="18"/>
      <c r="AI172" s="18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</row>
    <row r="173" spans="1:51" ht="9" customHeight="1" thickBot="1">
      <c r="A173" s="8"/>
      <c r="B173" s="57"/>
      <c r="C173" s="57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7"/>
      <c r="Z173" s="57"/>
      <c r="AA173" s="57"/>
      <c r="AB173" s="57"/>
      <c r="AC173" s="8"/>
      <c r="AD173" s="8"/>
      <c r="AE173" s="18"/>
      <c r="AF173" s="18"/>
      <c r="AG173" s="18"/>
      <c r="AH173" s="18"/>
      <c r="AI173" s="18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</row>
    <row r="174" spans="1:51" ht="15" customHeight="1">
      <c r="A174" s="8"/>
      <c r="B174" s="57"/>
      <c r="C174" s="195" t="s">
        <v>98</v>
      </c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205" t="s">
        <v>104</v>
      </c>
      <c r="S174" s="206"/>
      <c r="T174" s="206"/>
      <c r="U174" s="206"/>
      <c r="V174" s="206"/>
      <c r="W174" s="206"/>
      <c r="X174" s="207"/>
      <c r="Y174" s="8"/>
      <c r="Z174" s="8"/>
      <c r="AA174" s="8"/>
      <c r="AB174" s="8"/>
      <c r="AC174" s="8"/>
      <c r="AD174" s="8"/>
      <c r="AE174" s="18"/>
      <c r="AF174" s="18"/>
      <c r="AG174" s="18"/>
      <c r="AH174" s="18"/>
      <c r="AI174" s="18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</row>
    <row r="175" spans="1:51">
      <c r="A175" s="8"/>
      <c r="B175" s="57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208"/>
      <c r="S175" s="209"/>
      <c r="T175" s="209"/>
      <c r="U175" s="209"/>
      <c r="V175" s="209"/>
      <c r="W175" s="209"/>
      <c r="X175" s="210"/>
      <c r="Y175" s="8"/>
      <c r="Z175" s="8"/>
      <c r="AA175" s="8"/>
      <c r="AB175" s="8"/>
      <c r="AC175" s="8"/>
      <c r="AD175" s="8"/>
      <c r="AE175" s="18"/>
      <c r="AF175" s="18"/>
      <c r="AG175" s="18"/>
      <c r="AH175" s="18"/>
      <c r="AI175" s="18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</row>
    <row r="176" spans="1:51" ht="15" thickBot="1">
      <c r="A176" s="8"/>
      <c r="B176" s="57"/>
      <c r="C176" s="43"/>
      <c r="D176" s="43"/>
      <c r="E176" s="43"/>
      <c r="F176" s="43"/>
      <c r="G176" s="43"/>
      <c r="H176" s="43"/>
      <c r="I176" s="8"/>
      <c r="J176" s="8"/>
      <c r="K176" s="8"/>
      <c r="L176" s="8"/>
      <c r="M176" s="8"/>
      <c r="N176" s="8"/>
      <c r="O176" s="8"/>
      <c r="P176" s="8"/>
      <c r="Q176" s="8"/>
      <c r="R176" s="211"/>
      <c r="S176" s="212"/>
      <c r="T176" s="212"/>
      <c r="U176" s="212"/>
      <c r="V176" s="212"/>
      <c r="W176" s="212"/>
      <c r="X176" s="213"/>
      <c r="Y176" s="8"/>
      <c r="Z176" s="8"/>
      <c r="AA176" s="8"/>
      <c r="AB176" s="8"/>
      <c r="AC176" s="8"/>
      <c r="AD176" s="8"/>
      <c r="AE176" s="18"/>
      <c r="AF176" s="18"/>
      <c r="AG176" s="18"/>
      <c r="AH176" s="18"/>
      <c r="AI176" s="18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</row>
    <row r="177" spans="1:51" ht="15">
      <c r="A177" s="8"/>
      <c r="B177" s="57"/>
      <c r="C177" s="18"/>
      <c r="D177" s="18" t="s">
        <v>39</v>
      </c>
      <c r="E177" s="18" t="s">
        <v>1</v>
      </c>
      <c r="F177" s="186">
        <f>S46</f>
        <v>4.0999999999999996</v>
      </c>
      <c r="G177" s="171"/>
      <c r="H177" s="171"/>
      <c r="I177" s="8"/>
      <c r="J177" s="8"/>
      <c r="K177" s="8"/>
      <c r="L177" s="8"/>
      <c r="M177" s="8"/>
      <c r="N177" s="8"/>
      <c r="O177" s="8"/>
      <c r="P177" s="8"/>
      <c r="Q177" s="8"/>
      <c r="R177" s="196" t="s">
        <v>99</v>
      </c>
      <c r="S177" s="197"/>
      <c r="T177" s="197"/>
      <c r="U177" s="198"/>
      <c r="V177" s="214" t="s">
        <v>103</v>
      </c>
      <c r="W177" s="215"/>
      <c r="X177" s="216"/>
      <c r="Y177" s="8"/>
      <c r="Z177" s="8"/>
      <c r="AA177" s="8"/>
      <c r="AB177" s="8"/>
      <c r="AC177" s="8"/>
      <c r="AD177" s="8"/>
      <c r="AE177" s="18"/>
      <c r="AF177" s="18"/>
      <c r="AG177" s="18"/>
      <c r="AH177" s="18"/>
      <c r="AI177" s="18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</row>
    <row r="178" spans="1:51">
      <c r="A178" s="8"/>
      <c r="B178" s="57"/>
      <c r="C178" s="18"/>
      <c r="D178" s="18" t="s">
        <v>100</v>
      </c>
      <c r="E178" s="18" t="s">
        <v>1</v>
      </c>
      <c r="F178" s="186">
        <f>+V179+(F177-R179)/(R180-R179)*(V180-V179)</f>
        <v>0.79</v>
      </c>
      <c r="G178" s="171"/>
      <c r="H178" s="171"/>
      <c r="I178" s="8"/>
      <c r="J178" s="8"/>
      <c r="K178" s="8"/>
      <c r="L178" s="8"/>
      <c r="M178" s="8"/>
      <c r="N178" s="8"/>
      <c r="O178" s="8"/>
      <c r="P178" s="8"/>
      <c r="Q178" s="8"/>
      <c r="R178" s="199">
        <v>1.5</v>
      </c>
      <c r="S178" s="200"/>
      <c r="T178" s="200"/>
      <c r="U178" s="201"/>
      <c r="V178" s="217">
        <v>1.2</v>
      </c>
      <c r="W178" s="218"/>
      <c r="X178" s="219"/>
      <c r="Y178" s="8"/>
      <c r="Z178" s="8"/>
      <c r="AA178" s="8"/>
      <c r="AB178" s="8"/>
      <c r="AC178" s="8"/>
      <c r="AD178" s="8"/>
      <c r="AE178" s="18"/>
      <c r="AF178" s="18"/>
      <c r="AG178" s="18"/>
      <c r="AH178" s="18"/>
      <c r="AI178" s="18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</row>
    <row r="179" spans="1:51">
      <c r="A179" s="8"/>
      <c r="B179" s="57"/>
      <c r="C179" s="18"/>
      <c r="D179" s="18"/>
      <c r="E179" s="18"/>
      <c r="F179" s="18"/>
      <c r="G179" s="18"/>
      <c r="H179" s="18"/>
      <c r="I179" s="8"/>
      <c r="J179" s="8"/>
      <c r="K179" s="8"/>
      <c r="L179" s="8"/>
      <c r="M179" s="8"/>
      <c r="N179" s="8"/>
      <c r="O179" s="8"/>
      <c r="P179" s="8"/>
      <c r="Q179" s="8"/>
      <c r="R179" s="199">
        <v>3</v>
      </c>
      <c r="S179" s="200"/>
      <c r="T179" s="200"/>
      <c r="U179" s="201"/>
      <c r="V179" s="217">
        <v>0.9</v>
      </c>
      <c r="W179" s="218"/>
      <c r="X179" s="219"/>
      <c r="Y179" s="8"/>
      <c r="Z179" s="8"/>
      <c r="AA179" s="8"/>
      <c r="AB179" s="8"/>
      <c r="AC179" s="8"/>
      <c r="AD179" s="8"/>
      <c r="AE179" s="18"/>
      <c r="AF179" s="18"/>
      <c r="AG179" s="18"/>
      <c r="AH179" s="18"/>
      <c r="AI179" s="18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</row>
    <row r="180" spans="1:51" ht="15" thickBot="1">
      <c r="A180" s="8"/>
      <c r="B180" s="57"/>
      <c r="C180" s="18"/>
      <c r="D180" s="18"/>
      <c r="E180" s="18"/>
      <c r="F180" s="1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2">
        <v>6</v>
      </c>
      <c r="S180" s="203"/>
      <c r="T180" s="203"/>
      <c r="U180" s="204"/>
      <c r="V180" s="192">
        <v>0.6</v>
      </c>
      <c r="W180" s="193"/>
      <c r="X180" s="194"/>
      <c r="Y180" s="8"/>
      <c r="Z180" s="8"/>
      <c r="AA180" s="8"/>
      <c r="AB180" s="8"/>
      <c r="AC180" s="8"/>
      <c r="AD180" s="8"/>
      <c r="AE180" s="18"/>
      <c r="AF180" s="18"/>
      <c r="AG180" s="18"/>
      <c r="AH180" s="18"/>
      <c r="AI180" s="18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</row>
    <row r="181" spans="1:51">
      <c r="A181" s="8"/>
      <c r="B181" s="57"/>
      <c r="C181" s="57"/>
      <c r="D181" s="57"/>
      <c r="E181" s="57"/>
      <c r="F181" s="54"/>
      <c r="G181" s="54"/>
      <c r="H181" s="54"/>
      <c r="I181" s="8"/>
      <c r="J181" s="8"/>
      <c r="K181" s="8"/>
      <c r="L181" s="8"/>
      <c r="M181" s="8"/>
      <c r="N181" s="8"/>
      <c r="O181" s="8"/>
      <c r="P181" s="8"/>
      <c r="Q181" s="8"/>
      <c r="R181" s="57"/>
      <c r="S181" s="54"/>
      <c r="T181" s="54"/>
      <c r="U181" s="54"/>
      <c r="V181" s="54"/>
      <c r="W181" s="54"/>
      <c r="X181" s="54"/>
      <c r="Y181" s="54"/>
      <c r="Z181" s="54"/>
      <c r="AA181" s="54"/>
      <c r="AB181" s="57"/>
      <c r="AC181" s="8"/>
      <c r="AD181" s="8"/>
      <c r="AE181" s="18"/>
      <c r="AF181" s="18"/>
      <c r="AG181" s="18"/>
      <c r="AH181" s="18"/>
      <c r="AI181" s="18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</row>
    <row r="182" spans="1:51">
      <c r="A182" s="8"/>
      <c r="B182" s="51" t="s">
        <v>105</v>
      </c>
      <c r="C182" s="52" t="s">
        <v>106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18"/>
      <c r="AF182" s="18"/>
      <c r="AG182" s="18"/>
      <c r="AH182" s="18"/>
      <c r="AI182" s="18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</row>
    <row r="183" spans="1:51" ht="8.25" customHeight="1">
      <c r="A183" s="8"/>
      <c r="B183" s="8"/>
      <c r="C183" s="90"/>
      <c r="D183" s="90"/>
      <c r="E183" s="90"/>
      <c r="F183" s="90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18"/>
      <c r="AF183" s="18"/>
      <c r="AG183" s="18"/>
      <c r="AH183" s="18"/>
      <c r="AI183" s="18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</row>
    <row r="184" spans="1:51">
      <c r="A184" s="8"/>
      <c r="B184" s="8"/>
      <c r="C184" s="108" t="s">
        <v>107</v>
      </c>
      <c r="D184" s="19" t="s">
        <v>108</v>
      </c>
      <c r="E184" s="108"/>
      <c r="F184" s="10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18"/>
      <c r="AF184" s="18"/>
      <c r="AG184" s="18"/>
      <c r="AH184" s="18"/>
      <c r="AI184" s="18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</row>
    <row r="185" spans="1:51">
      <c r="A185" s="8"/>
      <c r="B185" s="8"/>
      <c r="C185" s="37" t="s">
        <v>109</v>
      </c>
      <c r="D185" s="8"/>
      <c r="E185" s="8"/>
      <c r="F185" s="8"/>
      <c r="G185" s="8"/>
      <c r="H185" s="8"/>
      <c r="I185" s="26" t="s">
        <v>41</v>
      </c>
      <c r="J185" s="8" t="s">
        <v>1</v>
      </c>
      <c r="K185" s="188">
        <f>I51</f>
        <v>2500</v>
      </c>
      <c r="L185" s="18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18"/>
      <c r="AF185" s="18"/>
      <c r="AG185" s="18"/>
      <c r="AH185" s="18"/>
      <c r="AI185" s="18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</row>
    <row r="186" spans="1:5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18"/>
      <c r="AF186" s="18"/>
      <c r="AG186" s="18"/>
      <c r="AH186" s="18"/>
      <c r="AI186" s="18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</row>
    <row r="187" spans="1:51">
      <c r="A187" s="8"/>
      <c r="B187" s="8"/>
      <c r="C187" s="179" t="s">
        <v>110</v>
      </c>
      <c r="D187" s="179"/>
      <c r="E187" s="179" t="s">
        <v>115</v>
      </c>
      <c r="F187" s="179"/>
      <c r="G187" s="179" t="s">
        <v>111</v>
      </c>
      <c r="H187" s="179"/>
      <c r="I187" s="179" t="s">
        <v>113</v>
      </c>
      <c r="J187" s="179"/>
      <c r="K187" s="180" t="s">
        <v>114</v>
      </c>
      <c r="L187" s="181"/>
      <c r="M187" s="182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18"/>
      <c r="AF187" s="18"/>
      <c r="AG187" s="18"/>
      <c r="AH187" s="18"/>
      <c r="AI187" s="18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</row>
    <row r="188" spans="1:51">
      <c r="A188" s="8"/>
      <c r="B188" s="8"/>
      <c r="C188" s="226">
        <v>1</v>
      </c>
      <c r="D188" s="226"/>
      <c r="E188" s="226">
        <f>(G120*(B111-C117-F106))/2</f>
        <v>1.0139999999999998</v>
      </c>
      <c r="F188" s="226"/>
      <c r="G188" s="177">
        <f>E188*$K$185</f>
        <v>2534.9999999999995</v>
      </c>
      <c r="H188" s="178"/>
      <c r="I188" s="177">
        <f>F113+(2/3*G120)</f>
        <v>1.02</v>
      </c>
      <c r="J188" s="178"/>
      <c r="K188" s="183">
        <f>G188*I188</f>
        <v>2585.6999999999994</v>
      </c>
      <c r="L188" s="184"/>
      <c r="M188" s="185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18"/>
      <c r="AF188" s="18"/>
      <c r="AG188" s="18"/>
      <c r="AH188" s="18"/>
      <c r="AI188" s="18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</row>
    <row r="189" spans="1:51">
      <c r="A189" s="8"/>
      <c r="B189" s="8"/>
      <c r="C189" s="226">
        <v>2</v>
      </c>
      <c r="D189" s="226"/>
      <c r="E189" s="231">
        <f>I120*(B111-F106-C117)</f>
        <v>1.0399999999999998</v>
      </c>
      <c r="F189" s="231"/>
      <c r="G189" s="177">
        <f t="shared" ref="G189:G191" si="4">E189*$K$185</f>
        <v>2599.9999999999995</v>
      </c>
      <c r="H189" s="178"/>
      <c r="I189" s="177">
        <f>F113+G120+(I120/2)</f>
        <v>1.48</v>
      </c>
      <c r="J189" s="178"/>
      <c r="K189" s="183">
        <f>G189*I189</f>
        <v>3847.9999999999991</v>
      </c>
      <c r="L189" s="184"/>
      <c r="M189" s="185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18"/>
      <c r="AF189" s="18"/>
      <c r="AG189" s="18"/>
      <c r="AH189" s="18"/>
      <c r="AI189" s="18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</row>
    <row r="190" spans="1:51">
      <c r="A190" s="8"/>
      <c r="B190" s="8"/>
      <c r="C190" s="226">
        <v>3</v>
      </c>
      <c r="D190" s="226"/>
      <c r="E190" s="231">
        <f>J120*(B111-C117)</f>
        <v>1.1199999999999999</v>
      </c>
      <c r="F190" s="231"/>
      <c r="G190" s="177">
        <f t="shared" si="4"/>
        <v>2799.9999999999995</v>
      </c>
      <c r="H190" s="178"/>
      <c r="I190" s="177">
        <f>F113+G120+I120+(J120/2)</f>
        <v>1.84</v>
      </c>
      <c r="J190" s="178"/>
      <c r="K190" s="183">
        <f>G190*I190</f>
        <v>5151.9999999999991</v>
      </c>
      <c r="L190" s="184"/>
      <c r="M190" s="185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18"/>
      <c r="AF190" s="18"/>
      <c r="AG190" s="18"/>
      <c r="AH190" s="18"/>
      <c r="AI190" s="18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</row>
    <row r="191" spans="1:51">
      <c r="A191" s="8"/>
      <c r="B191" s="8"/>
      <c r="C191" s="226">
        <v>4</v>
      </c>
      <c r="D191" s="226"/>
      <c r="E191" s="231">
        <f>F119*C117</f>
        <v>1.5</v>
      </c>
      <c r="F191" s="231"/>
      <c r="G191" s="177">
        <f t="shared" si="4"/>
        <v>3750</v>
      </c>
      <c r="H191" s="178"/>
      <c r="I191" s="177">
        <f>F119/2</f>
        <v>1.25</v>
      </c>
      <c r="J191" s="178"/>
      <c r="K191" s="183">
        <f>G191*I191</f>
        <v>4687.5</v>
      </c>
      <c r="L191" s="184"/>
      <c r="M191" s="185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18"/>
      <c r="AF191" s="18"/>
      <c r="AG191" s="18"/>
      <c r="AH191" s="18"/>
      <c r="AI191" s="18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</row>
    <row r="192" spans="1:51">
      <c r="A192" s="8"/>
      <c r="B192" s="8"/>
      <c r="C192" s="226" t="s">
        <v>112</v>
      </c>
      <c r="D192" s="226"/>
      <c r="E192" s="231"/>
      <c r="F192" s="231"/>
      <c r="G192" s="177">
        <f>SUM(G188:H191)</f>
        <v>11684.999999999998</v>
      </c>
      <c r="H192" s="178"/>
      <c r="I192" s="177"/>
      <c r="J192" s="178"/>
      <c r="K192" s="183">
        <f>SUM(K188:M191)</f>
        <v>16273.199999999997</v>
      </c>
      <c r="L192" s="184"/>
      <c r="M192" s="185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18"/>
      <c r="AF192" s="18"/>
      <c r="AG192" s="18"/>
      <c r="AH192" s="18"/>
      <c r="AI192" s="18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</row>
    <row r="193" spans="1:5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18"/>
      <c r="AF193" s="18"/>
      <c r="AG193" s="18"/>
      <c r="AH193" s="18"/>
      <c r="AI193" s="18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</row>
    <row r="194" spans="1:51" ht="15">
      <c r="A194" s="8"/>
      <c r="B194" s="8"/>
      <c r="C194" s="171" t="s">
        <v>116</v>
      </c>
      <c r="D194" s="171"/>
      <c r="E194" s="9" t="s">
        <v>1</v>
      </c>
      <c r="F194" s="229">
        <f>G192</f>
        <v>11684.999999999998</v>
      </c>
      <c r="G194" s="229"/>
      <c r="H194" s="229"/>
      <c r="I194" s="9" t="s">
        <v>127</v>
      </c>
      <c r="J194" s="230" t="s">
        <v>128</v>
      </c>
      <c r="K194" s="230"/>
      <c r="L194" s="9" t="s">
        <v>1</v>
      </c>
      <c r="M194" s="8">
        <f>K192/G192</f>
        <v>1.3926572528883183</v>
      </c>
      <c r="N194" s="8" t="s">
        <v>13</v>
      </c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18"/>
      <c r="AF194" s="18"/>
      <c r="AG194" s="18"/>
      <c r="AH194" s="18"/>
      <c r="AI194" s="18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</row>
    <row r="195" spans="1:51" ht="9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18"/>
      <c r="AF195" s="18"/>
      <c r="AG195" s="18"/>
      <c r="AH195" s="18"/>
      <c r="AI195" s="18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</row>
    <row r="196" spans="1:51">
      <c r="A196" s="8"/>
      <c r="B196" s="8"/>
      <c r="C196" s="37" t="s">
        <v>129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18"/>
      <c r="AF196" s="18"/>
      <c r="AG196" s="18"/>
      <c r="AH196" s="18"/>
      <c r="AI196" s="18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</row>
    <row r="197" spans="1:51" ht="15">
      <c r="A197" s="8"/>
      <c r="B197" s="8"/>
      <c r="C197" s="171" t="s">
        <v>120</v>
      </c>
      <c r="D197" s="171"/>
      <c r="E197" s="9" t="s">
        <v>1</v>
      </c>
      <c r="F197" s="163">
        <f>P105</f>
        <v>0.3</v>
      </c>
      <c r="G197" s="163"/>
      <c r="H197" s="8" t="s">
        <v>16</v>
      </c>
      <c r="I197" s="163">
        <f>K115</f>
        <v>0.5</v>
      </c>
      <c r="J197" s="163"/>
      <c r="K197" s="8" t="s">
        <v>16</v>
      </c>
      <c r="L197" s="221">
        <f>I51</f>
        <v>2500</v>
      </c>
      <c r="M197" s="221"/>
      <c r="N197" s="9" t="s">
        <v>1</v>
      </c>
      <c r="O197" s="162">
        <f>F197*I197*L197</f>
        <v>375</v>
      </c>
      <c r="P197" s="162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18"/>
      <c r="AF197" s="18"/>
      <c r="AG197" s="18"/>
      <c r="AH197" s="18"/>
      <c r="AI197" s="18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</row>
    <row r="198" spans="1:51" ht="8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18"/>
      <c r="AF198" s="18"/>
      <c r="AG198" s="18"/>
      <c r="AH198" s="18"/>
      <c r="AI198" s="18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</row>
    <row r="199" spans="1:51">
      <c r="A199" s="8"/>
      <c r="B199" s="8"/>
      <c r="C199" s="37" t="s">
        <v>133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18"/>
      <c r="AF199" s="18"/>
      <c r="AG199" s="18"/>
      <c r="AH199" s="18"/>
      <c r="AI199" s="18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</row>
    <row r="200" spans="1:51" ht="15">
      <c r="A200" s="8"/>
      <c r="B200" s="8"/>
      <c r="C200" s="171" t="s">
        <v>17</v>
      </c>
      <c r="D200" s="171"/>
      <c r="E200" s="31" t="s">
        <v>1</v>
      </c>
      <c r="F200" s="227">
        <f>I101</f>
        <v>2250</v>
      </c>
      <c r="G200" s="227"/>
      <c r="H200" s="227"/>
      <c r="I200" s="92"/>
      <c r="J200" s="92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18"/>
      <c r="AF200" s="18"/>
      <c r="AG200" s="18"/>
      <c r="AH200" s="18"/>
      <c r="AI200" s="18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</row>
    <row r="201" spans="1:51" ht="9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18"/>
      <c r="AF201" s="18"/>
      <c r="AG201" s="18"/>
      <c r="AH201" s="18"/>
      <c r="AI201" s="18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</row>
    <row r="202" spans="1:51">
      <c r="A202" s="8"/>
      <c r="B202" s="8"/>
      <c r="C202" s="93" t="s">
        <v>134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18"/>
      <c r="AF202" s="18"/>
      <c r="AG202" s="18"/>
      <c r="AH202" s="18"/>
      <c r="AI202" s="18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</row>
    <row r="203" spans="1:51" ht="15">
      <c r="A203" s="8"/>
      <c r="B203" s="8"/>
      <c r="C203" s="171" t="s">
        <v>18</v>
      </c>
      <c r="D203" s="171"/>
      <c r="E203" s="31" t="s">
        <v>1</v>
      </c>
      <c r="F203" s="227">
        <f>I102</f>
        <v>66</v>
      </c>
      <c r="G203" s="227"/>
      <c r="H203" s="227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18"/>
      <c r="AF203" s="18"/>
      <c r="AG203" s="18"/>
      <c r="AH203" s="18"/>
      <c r="AI203" s="18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</row>
    <row r="204" spans="1:51" ht="9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18"/>
      <c r="AF204" s="18"/>
      <c r="AG204" s="18"/>
      <c r="AH204" s="18"/>
      <c r="AI204" s="18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</row>
    <row r="205" spans="1:51">
      <c r="A205" s="8"/>
      <c r="B205" s="8"/>
      <c r="C205" s="93" t="s">
        <v>135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18"/>
      <c r="AF205" s="18"/>
      <c r="AG205" s="18"/>
      <c r="AH205" s="18"/>
      <c r="AI205" s="18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</row>
    <row r="206" spans="1:51">
      <c r="A206" s="8"/>
      <c r="B206" s="8"/>
      <c r="C206" s="37" t="s">
        <v>136</v>
      </c>
      <c r="D206" s="8"/>
      <c r="E206" s="8"/>
      <c r="F206" s="8"/>
      <c r="G206" s="8" t="s">
        <v>137</v>
      </c>
      <c r="H206" s="8" t="s">
        <v>1</v>
      </c>
      <c r="I206" s="8">
        <f>N49</f>
        <v>1600</v>
      </c>
      <c r="J206" s="8" t="s">
        <v>14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18"/>
      <c r="AF206" s="18"/>
      <c r="AG206" s="18"/>
      <c r="AH206" s="18"/>
      <c r="AI206" s="18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</row>
    <row r="207" spans="1:51">
      <c r="A207" s="8"/>
      <c r="B207" s="8"/>
      <c r="C207" s="179" t="s">
        <v>110</v>
      </c>
      <c r="D207" s="179"/>
      <c r="E207" s="179" t="s">
        <v>115</v>
      </c>
      <c r="F207" s="179"/>
      <c r="G207" s="179" t="s">
        <v>138</v>
      </c>
      <c r="H207" s="179"/>
      <c r="I207" s="179" t="s">
        <v>113</v>
      </c>
      <c r="J207" s="179"/>
      <c r="K207" s="180" t="s">
        <v>139</v>
      </c>
      <c r="L207" s="181"/>
      <c r="M207" s="182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18"/>
      <c r="AF207" s="18"/>
      <c r="AG207" s="18"/>
      <c r="AH207" s="18"/>
      <c r="AI207" s="18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</row>
    <row r="208" spans="1:51">
      <c r="A208" s="8"/>
      <c r="B208" s="8"/>
      <c r="C208" s="226" t="s">
        <v>119</v>
      </c>
      <c r="D208" s="226"/>
      <c r="E208" s="226">
        <f>K115*(B111-C117-P105)</f>
        <v>1.5999999999999999</v>
      </c>
      <c r="F208" s="226"/>
      <c r="G208" s="177">
        <f>E208*$I$206</f>
        <v>2560</v>
      </c>
      <c r="H208" s="178"/>
      <c r="I208" s="177">
        <f>F119-(K115/2)</f>
        <v>2.25</v>
      </c>
      <c r="J208" s="178"/>
      <c r="K208" s="232">
        <f>G208*I208</f>
        <v>5760</v>
      </c>
      <c r="L208" s="233"/>
      <c r="M208" s="234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18"/>
      <c r="AF208" s="18"/>
      <c r="AG208" s="18"/>
      <c r="AH208" s="18"/>
      <c r="AI208" s="18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</row>
    <row r="209" spans="1:51">
      <c r="A209" s="8"/>
      <c r="B209" s="8"/>
      <c r="C209" s="226" t="s">
        <v>140</v>
      </c>
      <c r="D209" s="226"/>
      <c r="E209" s="231">
        <f>C115*F113</f>
        <v>0.45</v>
      </c>
      <c r="F209" s="231"/>
      <c r="G209" s="177">
        <f>E209*$I$206</f>
        <v>720</v>
      </c>
      <c r="H209" s="178"/>
      <c r="I209" s="177">
        <f>F113/2</f>
        <v>0.25</v>
      </c>
      <c r="J209" s="178"/>
      <c r="K209" s="232">
        <f>G209*I209</f>
        <v>180</v>
      </c>
      <c r="L209" s="233"/>
      <c r="M209" s="234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18"/>
      <c r="AF209" s="18"/>
      <c r="AG209" s="18"/>
      <c r="AH209" s="18"/>
      <c r="AI209" s="18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</row>
    <row r="210" spans="1:51">
      <c r="A210" s="8"/>
      <c r="B210" s="8"/>
      <c r="C210" s="226" t="s">
        <v>141</v>
      </c>
      <c r="D210" s="226"/>
      <c r="E210" s="231">
        <f>G113*C115/2</f>
        <v>0.12150000000000008</v>
      </c>
      <c r="F210" s="231"/>
      <c r="G210" s="177">
        <f>E210*$I$206</f>
        <v>194.40000000000012</v>
      </c>
      <c r="H210" s="178"/>
      <c r="I210" s="177">
        <f>F113+(1/3*G113)</f>
        <v>0.59000000000000008</v>
      </c>
      <c r="J210" s="178"/>
      <c r="K210" s="232">
        <f>G210*I210</f>
        <v>114.69600000000008</v>
      </c>
      <c r="L210" s="233"/>
      <c r="M210" s="234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18"/>
      <c r="AF210" s="18"/>
      <c r="AG210" s="18"/>
      <c r="AH210" s="18"/>
      <c r="AI210" s="18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</row>
    <row r="211" spans="1:51">
      <c r="A211" s="8"/>
      <c r="B211" s="8"/>
      <c r="C211" s="226" t="s">
        <v>112</v>
      </c>
      <c r="D211" s="226"/>
      <c r="E211" s="231"/>
      <c r="F211" s="231"/>
      <c r="G211" s="177">
        <f>SUM(G208:H210)</f>
        <v>3474.4</v>
      </c>
      <c r="H211" s="178"/>
      <c r="I211" s="177"/>
      <c r="J211" s="178"/>
      <c r="K211" s="232">
        <f>SUM(K208:M210)</f>
        <v>6054.6959999999999</v>
      </c>
      <c r="L211" s="233"/>
      <c r="M211" s="234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18"/>
      <c r="AF211" s="18"/>
      <c r="AG211" s="18"/>
      <c r="AH211" s="18"/>
      <c r="AI211" s="18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</row>
    <row r="212" spans="1:5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18"/>
      <c r="AF212" s="18"/>
      <c r="AG212" s="18"/>
      <c r="AH212" s="18"/>
      <c r="AI212" s="18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</row>
    <row r="213" spans="1:51">
      <c r="A213" s="8"/>
      <c r="B213" s="8"/>
      <c r="C213" s="171" t="s">
        <v>142</v>
      </c>
      <c r="D213" s="171"/>
      <c r="E213" s="9" t="s">
        <v>1</v>
      </c>
      <c r="F213" s="229">
        <f>G211</f>
        <v>3474.4</v>
      </c>
      <c r="G213" s="229"/>
      <c r="H213" s="229"/>
      <c r="I213" s="9" t="s">
        <v>127</v>
      </c>
      <c r="J213" s="230" t="s">
        <v>128</v>
      </c>
      <c r="K213" s="230"/>
      <c r="L213" s="9" t="s">
        <v>1</v>
      </c>
      <c r="M213" s="8">
        <f>K211/G211</f>
        <v>1.7426594519917107</v>
      </c>
      <c r="N213" s="8" t="s">
        <v>13</v>
      </c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8"/>
      <c r="AF213" s="18"/>
      <c r="AG213" s="18"/>
      <c r="AH213" s="18"/>
      <c r="AI213" s="18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</row>
    <row r="214" spans="1:51" ht="7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8"/>
      <c r="AF214" s="18"/>
      <c r="AG214" s="18"/>
      <c r="AH214" s="18"/>
      <c r="AI214" s="18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</row>
    <row r="215" spans="1:51">
      <c r="A215" s="8"/>
      <c r="B215" s="8"/>
      <c r="C215" s="93" t="s">
        <v>143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8"/>
      <c r="AF215" s="18"/>
      <c r="AG215" s="18"/>
      <c r="AH215" s="18"/>
      <c r="AI215" s="18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</row>
    <row r="216" spans="1:51">
      <c r="A216" s="8"/>
      <c r="B216" s="8"/>
      <c r="C216" s="37" t="s">
        <v>144</v>
      </c>
      <c r="D216" s="38">
        <f>B111-P105</f>
        <v>3.8</v>
      </c>
      <c r="E216" s="37" t="s">
        <v>149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8"/>
      <c r="AF216" s="18"/>
      <c r="AG216" s="18"/>
      <c r="AH216" s="18"/>
      <c r="AI216" s="18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</row>
    <row r="217" spans="1:51" ht="16.5" customHeight="1">
      <c r="A217" s="8"/>
      <c r="B217" s="8"/>
      <c r="C217" s="41" t="s">
        <v>151</v>
      </c>
      <c r="D217" s="8" t="s">
        <v>1</v>
      </c>
      <c r="E217" s="94" t="s">
        <v>152</v>
      </c>
      <c r="F217" s="95" t="s">
        <v>94</v>
      </c>
      <c r="G217" s="8" t="s">
        <v>155</v>
      </c>
      <c r="H217" s="8" t="s">
        <v>1</v>
      </c>
      <c r="I217" s="43">
        <f>E170*SIN(RADIANS(N48))</f>
        <v>1289.8135162729502</v>
      </c>
      <c r="J217" s="55" t="s">
        <v>21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96"/>
      <c r="AA217" s="96"/>
      <c r="AB217" s="96"/>
      <c r="AC217" s="8"/>
      <c r="AD217" s="8"/>
      <c r="AE217" s="18"/>
      <c r="AF217" s="18"/>
      <c r="AG217" s="18"/>
      <c r="AH217" s="18"/>
      <c r="AI217" s="18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</row>
    <row r="218" spans="1:51" ht="9.75" customHeight="1">
      <c r="A218" s="8"/>
      <c r="B218" s="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54"/>
      <c r="Z218" s="54"/>
      <c r="AA218" s="54"/>
      <c r="AB218" s="54"/>
      <c r="AC218" s="8"/>
      <c r="AD218" s="8"/>
      <c r="AE218" s="18"/>
      <c r="AF218" s="18"/>
      <c r="AG218" s="18"/>
      <c r="AH218" s="18"/>
      <c r="AI218" s="18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</row>
    <row r="219" spans="1:51">
      <c r="A219" s="8"/>
      <c r="B219" s="8"/>
      <c r="C219" s="43" t="s">
        <v>156</v>
      </c>
      <c r="D219" s="43"/>
      <c r="E219" s="31"/>
      <c r="F219" s="42"/>
      <c r="G219" s="42"/>
      <c r="H219" s="42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54"/>
      <c r="Z219" s="54"/>
      <c r="AA219" s="54"/>
      <c r="AB219" s="54"/>
      <c r="AC219" s="8"/>
      <c r="AD219" s="8"/>
      <c r="AE219" s="18"/>
      <c r="AF219" s="18"/>
      <c r="AG219" s="18"/>
      <c r="AH219" s="18"/>
      <c r="AI219" s="18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</row>
    <row r="220" spans="1:51">
      <c r="A220" s="8"/>
      <c r="B220" s="8"/>
      <c r="C220" s="41" t="s">
        <v>153</v>
      </c>
      <c r="D220" s="8" t="s">
        <v>1</v>
      </c>
      <c r="E220" s="94" t="s">
        <v>154</v>
      </c>
      <c r="F220" s="95" t="s">
        <v>94</v>
      </c>
      <c r="G220" s="8" t="s">
        <v>155</v>
      </c>
      <c r="H220" s="9" t="s">
        <v>1</v>
      </c>
      <c r="I220" s="8">
        <f>E167*SIN(RADIANS(N48))</f>
        <v>318.21057144891864</v>
      </c>
      <c r="J220" s="55" t="s">
        <v>21</v>
      </c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54"/>
      <c r="Z220" s="54"/>
      <c r="AA220" s="54"/>
      <c r="AB220" s="54"/>
      <c r="AC220" s="8"/>
      <c r="AD220" s="8"/>
      <c r="AE220" s="18"/>
      <c r="AF220" s="18"/>
      <c r="AG220" s="18"/>
      <c r="AH220" s="18"/>
      <c r="AI220" s="18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</row>
    <row r="221" spans="1:51" ht="11.25" customHeight="1">
      <c r="A221" s="8"/>
      <c r="B221" s="8"/>
      <c r="C221" s="18"/>
      <c r="D221" s="8"/>
      <c r="E221" s="39"/>
      <c r="F221" s="8"/>
      <c r="G221" s="8"/>
      <c r="H221" s="8"/>
      <c r="I221" s="8"/>
      <c r="J221" s="8"/>
      <c r="K221" s="43"/>
      <c r="L221" s="55" t="s">
        <v>150</v>
      </c>
      <c r="M221" s="55" t="s">
        <v>150</v>
      </c>
      <c r="N221" s="55" t="s">
        <v>150</v>
      </c>
      <c r="O221" s="55" t="s">
        <v>150</v>
      </c>
      <c r="P221" s="55" t="s">
        <v>150</v>
      </c>
      <c r="Q221" s="55" t="s">
        <v>150</v>
      </c>
      <c r="R221" s="55" t="s">
        <v>150</v>
      </c>
      <c r="S221" s="55" t="s">
        <v>150</v>
      </c>
      <c r="T221" s="55" t="s">
        <v>150</v>
      </c>
      <c r="U221" s="55" t="s">
        <v>150</v>
      </c>
      <c r="V221" s="55" t="s">
        <v>150</v>
      </c>
      <c r="W221" s="55" t="s">
        <v>150</v>
      </c>
      <c r="X221" s="55" t="s">
        <v>150</v>
      </c>
      <c r="Y221" s="55" t="s">
        <v>150</v>
      </c>
      <c r="Z221" s="55" t="s">
        <v>150</v>
      </c>
      <c r="AA221" s="55" t="s">
        <v>150</v>
      </c>
      <c r="AB221" s="97"/>
      <c r="AC221" s="8"/>
      <c r="AD221" s="8"/>
      <c r="AE221" s="18"/>
      <c r="AF221" s="18"/>
      <c r="AG221" s="18"/>
      <c r="AH221" s="18"/>
      <c r="AI221" s="18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</row>
    <row r="222" spans="1:51">
      <c r="A222" s="8"/>
      <c r="B222" s="8"/>
      <c r="C222" s="93" t="s">
        <v>157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18"/>
      <c r="AF222" s="18"/>
      <c r="AG222" s="18"/>
      <c r="AH222" s="18"/>
      <c r="AI222" s="18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</row>
    <row r="223" spans="1:51" ht="15">
      <c r="A223" s="8"/>
      <c r="B223" s="8"/>
      <c r="C223" s="171" t="s">
        <v>34</v>
      </c>
      <c r="D223" s="171"/>
      <c r="E223" s="31" t="s">
        <v>1</v>
      </c>
      <c r="F223" s="237">
        <f>I103</f>
        <v>18420.5</v>
      </c>
      <c r="G223" s="237"/>
      <c r="H223" s="237"/>
      <c r="I223" s="98"/>
      <c r="J223" s="9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18"/>
      <c r="AF223" s="18"/>
      <c r="AG223" s="18"/>
      <c r="AH223" s="18"/>
      <c r="AI223" s="18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</row>
    <row r="224" spans="1:51" ht="8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18"/>
      <c r="AF224" s="18"/>
      <c r="AG224" s="18"/>
      <c r="AH224" s="18"/>
      <c r="AI224" s="18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</row>
    <row r="225" spans="1:51">
      <c r="A225" s="8"/>
      <c r="B225" s="8"/>
      <c r="C225" s="93" t="s">
        <v>158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18"/>
      <c r="AF225" s="18"/>
      <c r="AG225" s="18"/>
      <c r="AH225" s="18"/>
      <c r="AI225" s="18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</row>
    <row r="226" spans="1:51">
      <c r="A226" s="8"/>
      <c r="B226" s="8"/>
      <c r="C226" s="37" t="s">
        <v>159</v>
      </c>
      <c r="D226" s="8"/>
      <c r="E226" s="8"/>
      <c r="F226" s="8"/>
      <c r="G226" s="8"/>
      <c r="H226" s="38">
        <f>K115</f>
        <v>0.5</v>
      </c>
      <c r="I226" s="37" t="s">
        <v>160</v>
      </c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18"/>
      <c r="AF226" s="18"/>
      <c r="AG226" s="18"/>
      <c r="AH226" s="18"/>
      <c r="AI226" s="18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</row>
    <row r="227" spans="1:51">
      <c r="A227" s="8"/>
      <c r="B227" s="8"/>
      <c r="C227" s="41" t="s">
        <v>121</v>
      </c>
      <c r="D227" s="9" t="s">
        <v>1</v>
      </c>
      <c r="E227" s="35">
        <f>F178</f>
        <v>0.79</v>
      </c>
      <c r="F227" s="8" t="s">
        <v>16</v>
      </c>
      <c r="G227" s="35">
        <f>H226</f>
        <v>0.5</v>
      </c>
      <c r="H227" s="8" t="s">
        <v>16</v>
      </c>
      <c r="I227" s="8">
        <f>N49</f>
        <v>1600</v>
      </c>
      <c r="J227" s="8" t="str">
        <f>O49</f>
        <v>kg/m³</v>
      </c>
      <c r="K227" s="9" t="s">
        <v>1</v>
      </c>
      <c r="L227" s="8">
        <f>E227*G227*I227</f>
        <v>632</v>
      </c>
      <c r="M227" s="8" t="s">
        <v>21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18"/>
      <c r="AF227" s="18"/>
      <c r="AG227" s="18"/>
      <c r="AH227" s="18"/>
      <c r="AI227" s="18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</row>
    <row r="228" spans="1:51" ht="9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18"/>
      <c r="AF228" s="18"/>
      <c r="AG228" s="18"/>
      <c r="AH228" s="18"/>
      <c r="AI228" s="18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</row>
    <row r="229" spans="1:51">
      <c r="A229" s="8"/>
      <c r="B229" s="8"/>
      <c r="C229" s="37" t="s">
        <v>161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18"/>
      <c r="AF229" s="18"/>
      <c r="AG229" s="18"/>
      <c r="AH229" s="18"/>
      <c r="AI229" s="18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</row>
    <row r="230" spans="1:51">
      <c r="A230" s="8"/>
      <c r="B230" s="8"/>
      <c r="C230" s="41" t="s">
        <v>162</v>
      </c>
      <c r="D230" s="8" t="s">
        <v>1</v>
      </c>
      <c r="E230" s="94" t="s">
        <v>163</v>
      </c>
      <c r="F230" s="95" t="s">
        <v>94</v>
      </c>
      <c r="G230" s="8" t="s">
        <v>155</v>
      </c>
      <c r="H230" s="9" t="s">
        <v>1</v>
      </c>
      <c r="I230" s="8">
        <f>E164*SIN(RADIANS(N48))</f>
        <v>536.29088308191092</v>
      </c>
      <c r="J230" s="55" t="s">
        <v>21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18"/>
      <c r="AF230" s="18"/>
      <c r="AG230" s="18"/>
      <c r="AH230" s="18"/>
      <c r="AI230" s="18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</row>
    <row r="231" spans="1:5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18"/>
      <c r="AF231" s="18"/>
      <c r="AG231" s="18"/>
      <c r="AH231" s="18"/>
      <c r="AI231" s="18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</row>
    <row r="232" spans="1:51">
      <c r="A232" s="8"/>
      <c r="B232" s="8"/>
      <c r="C232" s="238" t="s">
        <v>175</v>
      </c>
      <c r="D232" s="238"/>
      <c r="E232" s="238"/>
      <c r="F232" s="238"/>
      <c r="G232" s="238"/>
      <c r="H232" s="238"/>
      <c r="I232" s="238"/>
      <c r="J232" s="238"/>
      <c r="K232" s="238"/>
      <c r="L232" s="238"/>
      <c r="M232" s="23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18"/>
      <c r="AF232" s="18"/>
      <c r="AG232" s="18"/>
      <c r="AH232" s="18"/>
      <c r="AI232" s="18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</row>
    <row r="233" spans="1:51">
      <c r="A233" s="8"/>
      <c r="B233" s="8"/>
      <c r="C233" s="179" t="s">
        <v>164</v>
      </c>
      <c r="D233" s="179"/>
      <c r="E233" s="179" t="s">
        <v>165</v>
      </c>
      <c r="F233" s="179"/>
      <c r="G233" s="179" t="s">
        <v>166</v>
      </c>
      <c r="H233" s="179"/>
      <c r="I233" s="179" t="s">
        <v>113</v>
      </c>
      <c r="J233" s="179"/>
      <c r="K233" s="180" t="s">
        <v>167</v>
      </c>
      <c r="L233" s="181"/>
      <c r="M233" s="182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18"/>
      <c r="AF233" s="18"/>
      <c r="AG233" s="18"/>
      <c r="AH233" s="18"/>
      <c r="AI233" s="18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</row>
    <row r="234" spans="1:51" ht="15">
      <c r="A234" s="8"/>
      <c r="B234" s="8"/>
      <c r="C234" s="235" t="s">
        <v>116</v>
      </c>
      <c r="D234" s="235"/>
      <c r="E234" s="239" t="s">
        <v>168</v>
      </c>
      <c r="F234" s="240"/>
      <c r="G234" s="177">
        <f>F194</f>
        <v>11684.999999999998</v>
      </c>
      <c r="H234" s="178"/>
      <c r="I234" s="177">
        <f>M194</f>
        <v>1.3926572528883183</v>
      </c>
      <c r="J234" s="178"/>
      <c r="K234" s="177">
        <f>G234*I234</f>
        <v>16273.199999999997</v>
      </c>
      <c r="L234" s="241"/>
      <c r="M234" s="17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18"/>
      <c r="AF234" s="18"/>
      <c r="AG234" s="18"/>
      <c r="AH234" s="18"/>
      <c r="AI234" s="18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</row>
    <row r="235" spans="1:51" ht="15">
      <c r="A235" s="8"/>
      <c r="B235" s="8"/>
      <c r="C235" s="235" t="s">
        <v>120</v>
      </c>
      <c r="D235" s="235"/>
      <c r="E235" s="239" t="s">
        <v>168</v>
      </c>
      <c r="F235" s="240"/>
      <c r="G235" s="177">
        <f>O197</f>
        <v>375</v>
      </c>
      <c r="H235" s="178"/>
      <c r="I235" s="177">
        <f>F119-K115/2</f>
        <v>2.25</v>
      </c>
      <c r="J235" s="178"/>
      <c r="K235" s="177">
        <f t="shared" ref="K235:K243" si="5">G235*I235</f>
        <v>843.75</v>
      </c>
      <c r="L235" s="241"/>
      <c r="M235" s="17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18"/>
      <c r="AF235" s="18"/>
      <c r="AG235" s="18"/>
      <c r="AH235" s="18"/>
      <c r="AI235" s="18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</row>
    <row r="236" spans="1:51" ht="15">
      <c r="A236" s="8"/>
      <c r="B236" s="8"/>
      <c r="C236" s="235" t="s">
        <v>17</v>
      </c>
      <c r="D236" s="235"/>
      <c r="E236" s="239" t="s">
        <v>168</v>
      </c>
      <c r="F236" s="240"/>
      <c r="G236" s="177">
        <f>F200</f>
        <v>2250</v>
      </c>
      <c r="H236" s="178"/>
      <c r="I236" s="177">
        <f>I108/2+G120+F113</f>
        <v>1.48</v>
      </c>
      <c r="J236" s="178"/>
      <c r="K236" s="177">
        <f t="shared" si="5"/>
        <v>3330</v>
      </c>
      <c r="L236" s="241"/>
      <c r="M236" s="17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18"/>
      <c r="AF236" s="18"/>
      <c r="AG236" s="18"/>
      <c r="AH236" s="18"/>
      <c r="AI236" s="18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</row>
    <row r="237" spans="1:51" ht="15">
      <c r="A237" s="8"/>
      <c r="B237" s="8"/>
      <c r="C237" s="235" t="s">
        <v>18</v>
      </c>
      <c r="D237" s="235"/>
      <c r="E237" s="239" t="s">
        <v>169</v>
      </c>
      <c r="F237" s="240"/>
      <c r="G237" s="177">
        <f>F203</f>
        <v>66</v>
      </c>
      <c r="H237" s="178"/>
      <c r="I237" s="177">
        <f>I108/2+G120+F113</f>
        <v>1.48</v>
      </c>
      <c r="J237" s="178"/>
      <c r="K237" s="177">
        <f t="shared" si="5"/>
        <v>97.679999999999993</v>
      </c>
      <c r="L237" s="241"/>
      <c r="M237" s="17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18"/>
      <c r="AF237" s="18"/>
      <c r="AG237" s="18"/>
      <c r="AH237" s="18"/>
      <c r="AI237" s="18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</row>
    <row r="238" spans="1:51">
      <c r="A238" s="8"/>
      <c r="B238" s="8"/>
      <c r="C238" s="235" t="s">
        <v>142</v>
      </c>
      <c r="D238" s="235"/>
      <c r="E238" s="239" t="s">
        <v>142</v>
      </c>
      <c r="F238" s="240"/>
      <c r="G238" s="177">
        <f>F213</f>
        <v>3474.4</v>
      </c>
      <c r="H238" s="178"/>
      <c r="I238" s="177">
        <f>M213</f>
        <v>1.7426594519917107</v>
      </c>
      <c r="J238" s="178"/>
      <c r="K238" s="177">
        <f t="shared" si="5"/>
        <v>6054.6959999999999</v>
      </c>
      <c r="L238" s="241"/>
      <c r="M238" s="17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18"/>
      <c r="AF238" s="18"/>
      <c r="AG238" s="18"/>
      <c r="AH238" s="18"/>
      <c r="AI238" s="18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</row>
    <row r="239" spans="1:51">
      <c r="A239" s="8"/>
      <c r="B239" s="8"/>
      <c r="C239" s="236" t="s">
        <v>151</v>
      </c>
      <c r="D239" s="236"/>
      <c r="E239" s="239" t="s">
        <v>170</v>
      </c>
      <c r="F239" s="240"/>
      <c r="G239" s="177">
        <f>I217</f>
        <v>1289.8135162729502</v>
      </c>
      <c r="H239" s="178"/>
      <c r="I239" s="177">
        <f>F119</f>
        <v>2.5</v>
      </c>
      <c r="J239" s="178"/>
      <c r="K239" s="177">
        <f t="shared" si="5"/>
        <v>3224.5337906823756</v>
      </c>
      <c r="L239" s="241"/>
      <c r="M239" s="17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18"/>
      <c r="AF239" s="18"/>
      <c r="AG239" s="18"/>
      <c r="AH239" s="18"/>
      <c r="AI239" s="18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</row>
    <row r="240" spans="1:51">
      <c r="A240" s="8"/>
      <c r="B240" s="8"/>
      <c r="C240" s="236" t="s">
        <v>153</v>
      </c>
      <c r="D240" s="236"/>
      <c r="E240" s="239" t="s">
        <v>170</v>
      </c>
      <c r="F240" s="240"/>
      <c r="G240" s="177">
        <f>I220</f>
        <v>318.21057144891864</v>
      </c>
      <c r="H240" s="178"/>
      <c r="I240" s="177">
        <f>F119</f>
        <v>2.5</v>
      </c>
      <c r="J240" s="178"/>
      <c r="K240" s="177">
        <f t="shared" si="5"/>
        <v>795.52642862229663</v>
      </c>
      <c r="L240" s="241"/>
      <c r="M240" s="17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18"/>
      <c r="AF240" s="18"/>
      <c r="AG240" s="18"/>
      <c r="AH240" s="18"/>
      <c r="AI240" s="18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</row>
    <row r="241" spans="1:51" ht="15">
      <c r="A241" s="8"/>
      <c r="B241" s="8"/>
      <c r="C241" s="235" t="s">
        <v>34</v>
      </c>
      <c r="D241" s="235"/>
      <c r="E241" s="239" t="s">
        <v>171</v>
      </c>
      <c r="F241" s="240"/>
      <c r="G241" s="177">
        <f>F223</f>
        <v>18420.5</v>
      </c>
      <c r="H241" s="178"/>
      <c r="I241" s="177">
        <f>I108/2+G120+F113</f>
        <v>1.48</v>
      </c>
      <c r="J241" s="178"/>
      <c r="K241" s="177">
        <f t="shared" si="5"/>
        <v>27262.34</v>
      </c>
      <c r="L241" s="241"/>
      <c r="M241" s="17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18"/>
      <c r="AF241" s="18"/>
      <c r="AG241" s="18"/>
      <c r="AH241" s="18"/>
      <c r="AI241" s="18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</row>
    <row r="242" spans="1:51">
      <c r="A242" s="8"/>
      <c r="B242" s="8"/>
      <c r="C242" s="236" t="s">
        <v>121</v>
      </c>
      <c r="D242" s="236"/>
      <c r="E242" s="239" t="s">
        <v>172</v>
      </c>
      <c r="F242" s="240"/>
      <c r="G242" s="177">
        <f>L227</f>
        <v>632</v>
      </c>
      <c r="H242" s="178"/>
      <c r="I242" s="177">
        <f>F119-K115/2</f>
        <v>2.25</v>
      </c>
      <c r="J242" s="178"/>
      <c r="K242" s="177">
        <f t="shared" si="5"/>
        <v>1422</v>
      </c>
      <c r="L242" s="241"/>
      <c r="M242" s="17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18"/>
      <c r="AF242" s="18"/>
      <c r="AG242" s="18"/>
      <c r="AH242" s="18"/>
      <c r="AI242" s="18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</row>
    <row r="243" spans="1:51">
      <c r="A243" s="8"/>
      <c r="B243" s="8"/>
      <c r="C243" s="236" t="s">
        <v>162</v>
      </c>
      <c r="D243" s="236"/>
      <c r="E243" s="239" t="s">
        <v>172</v>
      </c>
      <c r="F243" s="240"/>
      <c r="G243" s="177">
        <f>I230</f>
        <v>536.29088308191092</v>
      </c>
      <c r="H243" s="178"/>
      <c r="I243" s="177">
        <f>F119</f>
        <v>2.5</v>
      </c>
      <c r="J243" s="178"/>
      <c r="K243" s="177">
        <f t="shared" si="5"/>
        <v>1340.7272077047774</v>
      </c>
      <c r="L243" s="241"/>
      <c r="M243" s="17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18"/>
      <c r="AF243" s="18"/>
      <c r="AG243" s="18"/>
      <c r="AH243" s="18"/>
      <c r="AI243" s="18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</row>
    <row r="244" spans="1:51">
      <c r="A244" s="8"/>
      <c r="B244" s="8"/>
      <c r="C244" s="226" t="s">
        <v>112</v>
      </c>
      <c r="D244" s="226"/>
      <c r="E244" s="231"/>
      <c r="F244" s="231"/>
      <c r="G244" s="177">
        <f>SUM(G234:H243)</f>
        <v>39047.214970803783</v>
      </c>
      <c r="H244" s="178"/>
      <c r="I244" s="177"/>
      <c r="J244" s="178"/>
      <c r="K244" s="232">
        <f>SUM(K234:M243)</f>
        <v>60644.453427009445</v>
      </c>
      <c r="L244" s="233"/>
      <c r="M244" s="234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18"/>
      <c r="AF244" s="18"/>
      <c r="AG244" s="18"/>
      <c r="AH244" s="18"/>
      <c r="AI244" s="18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</row>
    <row r="245" spans="1:5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18"/>
      <c r="AF245" s="18"/>
      <c r="AG245" s="18"/>
      <c r="AH245" s="18"/>
      <c r="AI245" s="18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</row>
    <row r="246" spans="1:51">
      <c r="A246" s="8"/>
      <c r="B246" s="8"/>
      <c r="C246" s="90" t="s">
        <v>173</v>
      </c>
      <c r="D246" s="91" t="s">
        <v>174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18"/>
      <c r="AF246" s="18"/>
      <c r="AG246" s="18"/>
      <c r="AH246" s="18"/>
      <c r="AI246" s="18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</row>
    <row r="247" spans="1:51">
      <c r="A247" s="8"/>
      <c r="B247" s="8"/>
      <c r="C247" s="93" t="s">
        <v>143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18"/>
      <c r="AF247" s="18"/>
      <c r="AG247" s="18"/>
      <c r="AH247" s="18"/>
      <c r="AI247" s="18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</row>
    <row r="248" spans="1:51">
      <c r="A248" s="8"/>
      <c r="B248" s="8"/>
      <c r="C248" s="8" t="s">
        <v>144</v>
      </c>
      <c r="D248" s="38">
        <f>B111-P105</f>
        <v>3.8</v>
      </c>
      <c r="E248" s="37" t="s">
        <v>145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18"/>
      <c r="AF248" s="18"/>
      <c r="AG248" s="18"/>
      <c r="AH248" s="18"/>
      <c r="AI248" s="18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</row>
    <row r="249" spans="1:51">
      <c r="A249" s="8"/>
      <c r="B249" s="8"/>
      <c r="C249" s="41" t="s">
        <v>176</v>
      </c>
      <c r="D249" s="8" t="s">
        <v>1</v>
      </c>
      <c r="E249" s="94" t="s">
        <v>152</v>
      </c>
      <c r="F249" s="95" t="s">
        <v>94</v>
      </c>
      <c r="G249" s="8" t="s">
        <v>177</v>
      </c>
      <c r="H249" s="9" t="s">
        <v>1</v>
      </c>
      <c r="I249" s="99">
        <f>E170*COS(RADIANS(D8))</f>
        <v>2896.9685890277501</v>
      </c>
      <c r="J249" s="8" t="s">
        <v>21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18"/>
      <c r="AF249" s="18"/>
      <c r="AG249" s="18"/>
      <c r="AH249" s="18"/>
      <c r="AI249" s="18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</row>
    <row r="250" spans="1:51" ht="9" customHeight="1">
      <c r="A250" s="8"/>
      <c r="B250" s="8"/>
      <c r="C250" s="8"/>
      <c r="D250" s="8"/>
      <c r="E250" s="8"/>
      <c r="F250" s="8"/>
      <c r="G250" s="8"/>
      <c r="H250" s="8"/>
      <c r="I250" s="99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18"/>
      <c r="AF250" s="18"/>
      <c r="AG250" s="18"/>
      <c r="AH250" s="18"/>
      <c r="AI250" s="18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</row>
    <row r="251" spans="1:51">
      <c r="A251" s="8"/>
      <c r="B251" s="8"/>
      <c r="C251" s="37" t="s">
        <v>178</v>
      </c>
      <c r="D251" s="8"/>
      <c r="E251" s="8"/>
      <c r="F251" s="8"/>
      <c r="G251" s="8"/>
      <c r="H251" s="8"/>
      <c r="I251" s="99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18"/>
      <c r="AF251" s="18"/>
      <c r="AG251" s="18"/>
      <c r="AH251" s="18"/>
      <c r="AI251" s="18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</row>
    <row r="252" spans="1:51" ht="16.5" customHeight="1">
      <c r="A252" s="8"/>
      <c r="B252" s="8"/>
      <c r="C252" s="100" t="s">
        <v>179</v>
      </c>
      <c r="D252" s="101" t="s">
        <v>1</v>
      </c>
      <c r="E252" s="102" t="s">
        <v>180</v>
      </c>
      <c r="F252" s="95" t="s">
        <v>94</v>
      </c>
      <c r="G252" s="8" t="s">
        <v>177</v>
      </c>
      <c r="H252" s="9" t="s">
        <v>1</v>
      </c>
      <c r="I252" s="99">
        <f>E167*COS(RADIANS(D8))</f>
        <v>714.71264531934617</v>
      </c>
      <c r="J252" s="8" t="s">
        <v>21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18"/>
      <c r="AF252" s="18"/>
      <c r="AG252" s="18"/>
      <c r="AH252" s="18"/>
      <c r="AI252" s="18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</row>
    <row r="253" spans="1:51" ht="9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18"/>
      <c r="AF253" s="18"/>
      <c r="AG253" s="18"/>
      <c r="AH253" s="18"/>
      <c r="AI253" s="18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</row>
    <row r="254" spans="1:51">
      <c r="A254" s="8"/>
      <c r="B254" s="8"/>
      <c r="C254" s="93" t="s">
        <v>158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18"/>
      <c r="AF254" s="18"/>
      <c r="AG254" s="18"/>
      <c r="AH254" s="18"/>
      <c r="AI254" s="18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</row>
    <row r="255" spans="1:51">
      <c r="A255" s="8"/>
      <c r="B255" s="8"/>
      <c r="C255" s="37" t="s">
        <v>181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18"/>
      <c r="AF255" s="18"/>
      <c r="AG255" s="18"/>
      <c r="AH255" s="18"/>
      <c r="AI255" s="18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</row>
    <row r="256" spans="1:51" ht="16.5" customHeight="1">
      <c r="A256" s="8"/>
      <c r="B256" s="8"/>
      <c r="C256" s="41" t="s">
        <v>182</v>
      </c>
      <c r="D256" s="8" t="s">
        <v>1</v>
      </c>
      <c r="E256" s="94" t="s">
        <v>163</v>
      </c>
      <c r="F256" s="95" t="s">
        <v>94</v>
      </c>
      <c r="G256" s="8" t="s">
        <v>177</v>
      </c>
      <c r="H256" s="103" t="s">
        <v>1</v>
      </c>
      <c r="I256" s="99">
        <f>E164*COS(RADIANS(D8))</f>
        <v>1204.5290449115384</v>
      </c>
      <c r="J256" s="8" t="s">
        <v>21</v>
      </c>
      <c r="K256" s="55" t="s">
        <v>150</v>
      </c>
      <c r="L256" s="55" t="s">
        <v>150</v>
      </c>
      <c r="M256" s="55" t="s">
        <v>150</v>
      </c>
      <c r="N256" s="55" t="s">
        <v>150</v>
      </c>
      <c r="O256" s="104"/>
      <c r="P256" s="104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18"/>
      <c r="AF256" s="18"/>
      <c r="AG256" s="18"/>
      <c r="AH256" s="18"/>
      <c r="AI256" s="18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</row>
    <row r="257" spans="1:51" ht="9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18"/>
      <c r="AF257" s="18"/>
      <c r="AG257" s="18"/>
      <c r="AH257" s="18"/>
      <c r="AI257" s="18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</row>
    <row r="258" spans="1:51">
      <c r="A258" s="8"/>
      <c r="B258" s="8"/>
      <c r="C258" s="93" t="s">
        <v>183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18"/>
      <c r="AF258" s="18"/>
      <c r="AG258" s="18"/>
      <c r="AH258" s="18"/>
      <c r="AI258" s="18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</row>
    <row r="259" spans="1:51">
      <c r="A259" s="8"/>
      <c r="B259" s="8"/>
      <c r="C259" s="41" t="s">
        <v>35</v>
      </c>
      <c r="D259" s="8" t="s">
        <v>1</v>
      </c>
      <c r="E259" s="105">
        <f>D106</f>
        <v>150</v>
      </c>
      <c r="F259" s="8" t="s">
        <v>21</v>
      </c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18"/>
      <c r="AF259" s="18"/>
      <c r="AG259" s="18"/>
      <c r="AH259" s="18"/>
      <c r="AI259" s="18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</row>
    <row r="260" spans="1:51" ht="8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18"/>
      <c r="AF260" s="18"/>
      <c r="AG260" s="18"/>
      <c r="AH260" s="18"/>
      <c r="AI260" s="18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</row>
    <row r="261" spans="1:51">
      <c r="A261" s="8"/>
      <c r="B261" s="8"/>
      <c r="C261" s="93" t="s">
        <v>184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18"/>
      <c r="AF261" s="18"/>
      <c r="AG261" s="18"/>
      <c r="AH261" s="18"/>
      <c r="AI261" s="18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</row>
    <row r="262" spans="1:51">
      <c r="A262" s="8"/>
      <c r="B262" s="8"/>
      <c r="C262" s="41" t="s">
        <v>37</v>
      </c>
      <c r="D262" s="8" t="s">
        <v>1</v>
      </c>
      <c r="E262" s="105">
        <f>I99</f>
        <v>1400</v>
      </c>
      <c r="F262" s="8" t="s">
        <v>21</v>
      </c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18"/>
      <c r="AF262" s="18"/>
      <c r="AG262" s="18"/>
      <c r="AH262" s="18"/>
      <c r="AI262" s="18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</row>
    <row r="263" spans="1:51" ht="10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18"/>
      <c r="AF263" s="18"/>
      <c r="AG263" s="18"/>
      <c r="AH263" s="18"/>
      <c r="AI263" s="18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</row>
    <row r="264" spans="1:51">
      <c r="A264" s="8"/>
      <c r="B264" s="8"/>
      <c r="C264" s="242" t="s">
        <v>185</v>
      </c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42"/>
      <c r="R264" s="242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18"/>
      <c r="AF264" s="18"/>
      <c r="AG264" s="18"/>
      <c r="AH264" s="18"/>
      <c r="AI264" s="18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</row>
    <row r="265" spans="1:51">
      <c r="A265" s="8"/>
      <c r="B265" s="8"/>
      <c r="C265" s="242"/>
      <c r="D265" s="242"/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42"/>
      <c r="R265" s="242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18"/>
      <c r="AF265" s="18"/>
      <c r="AG265" s="18"/>
      <c r="AH265" s="18"/>
      <c r="AI265" s="18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</row>
    <row r="266" spans="1:51">
      <c r="A266" s="8"/>
      <c r="B266" s="8"/>
      <c r="C266" s="160" t="s">
        <v>186</v>
      </c>
      <c r="D266" s="160"/>
      <c r="E266" s="160"/>
      <c r="F266" s="9" t="s">
        <v>1</v>
      </c>
      <c r="G266" s="28">
        <f>D107</f>
        <v>900</v>
      </c>
      <c r="H266" s="8" t="s">
        <v>21</v>
      </c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18"/>
      <c r="AF266" s="18"/>
      <c r="AG266" s="18"/>
      <c r="AH266" s="18"/>
      <c r="AI266" s="18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</row>
    <row r="267" spans="1:51" ht="9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18"/>
      <c r="AF267" s="18"/>
      <c r="AG267" s="18"/>
      <c r="AH267" s="18"/>
      <c r="AI267" s="18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</row>
    <row r="268" spans="1:51">
      <c r="A268" s="8"/>
      <c r="B268" s="8"/>
      <c r="C268" s="238" t="s">
        <v>192</v>
      </c>
      <c r="D268" s="238"/>
      <c r="E268" s="238"/>
      <c r="F268" s="238"/>
      <c r="G268" s="238"/>
      <c r="H268" s="238"/>
      <c r="I268" s="238"/>
      <c r="J268" s="238"/>
      <c r="K268" s="238"/>
      <c r="L268" s="238"/>
      <c r="M268" s="23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18"/>
      <c r="AF268" s="18"/>
      <c r="AG268" s="18"/>
      <c r="AH268" s="18"/>
      <c r="AI268" s="18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</row>
    <row r="269" spans="1:51">
      <c r="A269" s="8"/>
      <c r="B269" s="8"/>
      <c r="C269" s="179" t="s">
        <v>164</v>
      </c>
      <c r="D269" s="179"/>
      <c r="E269" s="179" t="s">
        <v>165</v>
      </c>
      <c r="F269" s="179"/>
      <c r="G269" s="179" t="s">
        <v>189</v>
      </c>
      <c r="H269" s="179"/>
      <c r="I269" s="179" t="s">
        <v>113</v>
      </c>
      <c r="J269" s="179"/>
      <c r="K269" s="180" t="s">
        <v>167</v>
      </c>
      <c r="L269" s="181"/>
      <c r="M269" s="182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18"/>
      <c r="AF269" s="18"/>
      <c r="AG269" s="18"/>
      <c r="AH269" s="18"/>
      <c r="AI269" s="18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</row>
    <row r="270" spans="1:51" ht="15.75" customHeight="1">
      <c r="A270" s="8"/>
      <c r="B270" s="8"/>
      <c r="C270" s="236" t="s">
        <v>176</v>
      </c>
      <c r="D270" s="236"/>
      <c r="E270" s="239" t="s">
        <v>170</v>
      </c>
      <c r="F270" s="240"/>
      <c r="G270" s="177">
        <f>I249</f>
        <v>2896.9685890277501</v>
      </c>
      <c r="H270" s="178"/>
      <c r="I270" s="177">
        <f>(B111-P105)/3</f>
        <v>1.2666666666666666</v>
      </c>
      <c r="J270" s="178"/>
      <c r="K270" s="177">
        <f>G270*I270</f>
        <v>3669.4935461018167</v>
      </c>
      <c r="L270" s="241"/>
      <c r="M270" s="17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18"/>
      <c r="AF270" s="18"/>
      <c r="AG270" s="18"/>
      <c r="AH270" s="18"/>
      <c r="AI270" s="18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</row>
    <row r="271" spans="1:51">
      <c r="A271" s="8"/>
      <c r="B271" s="8"/>
      <c r="C271" s="236" t="s">
        <v>187</v>
      </c>
      <c r="D271" s="236"/>
      <c r="E271" s="239" t="s">
        <v>170</v>
      </c>
      <c r="F271" s="240"/>
      <c r="G271" s="177">
        <f>I252</f>
        <v>714.71264531934617</v>
      </c>
      <c r="H271" s="178"/>
      <c r="I271" s="177">
        <f>(B111-P105)/2</f>
        <v>1.9</v>
      </c>
      <c r="J271" s="178"/>
      <c r="K271" s="177">
        <f t="shared" ref="K271:K275" si="6">G271*I271</f>
        <v>1357.9540261067577</v>
      </c>
      <c r="L271" s="241"/>
      <c r="M271" s="17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18"/>
      <c r="AF271" s="18"/>
      <c r="AG271" s="18"/>
      <c r="AH271" s="18"/>
      <c r="AI271" s="18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</row>
    <row r="272" spans="1:51">
      <c r="A272" s="8"/>
      <c r="B272" s="8"/>
      <c r="C272" s="236" t="s">
        <v>188</v>
      </c>
      <c r="D272" s="236"/>
      <c r="E272" s="239" t="s">
        <v>172</v>
      </c>
      <c r="F272" s="240"/>
      <c r="G272" s="177">
        <f>I256</f>
        <v>1204.5290449115384</v>
      </c>
      <c r="H272" s="178"/>
      <c r="I272" s="177">
        <f>(B111-P105)/2</f>
        <v>1.9</v>
      </c>
      <c r="J272" s="178"/>
      <c r="K272" s="177">
        <f t="shared" si="6"/>
        <v>2288.6051853319232</v>
      </c>
      <c r="L272" s="241"/>
      <c r="M272" s="17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18"/>
      <c r="AF272" s="18"/>
      <c r="AG272" s="18"/>
      <c r="AH272" s="18"/>
      <c r="AI272" s="18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</row>
    <row r="273" spans="1:51" ht="15.75" customHeight="1">
      <c r="A273" s="8"/>
      <c r="B273" s="8"/>
      <c r="C273" s="235" t="s">
        <v>35</v>
      </c>
      <c r="D273" s="235"/>
      <c r="E273" s="239" t="s">
        <v>35</v>
      </c>
      <c r="F273" s="240"/>
      <c r="G273" s="177">
        <f>E259</f>
        <v>150</v>
      </c>
      <c r="H273" s="178"/>
      <c r="I273" s="177">
        <f>B111-F108</f>
        <v>3.6499999999999995</v>
      </c>
      <c r="J273" s="178"/>
      <c r="K273" s="177">
        <f t="shared" si="6"/>
        <v>547.49999999999989</v>
      </c>
      <c r="L273" s="241"/>
      <c r="M273" s="17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18"/>
      <c r="AF273" s="18"/>
      <c r="AG273" s="18"/>
      <c r="AH273" s="18"/>
      <c r="AI273" s="18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</row>
    <row r="274" spans="1:51">
      <c r="A274" s="8"/>
      <c r="B274" s="8"/>
      <c r="C274" s="235" t="s">
        <v>37</v>
      </c>
      <c r="D274" s="235"/>
      <c r="E274" s="239" t="s">
        <v>37</v>
      </c>
      <c r="F274" s="240"/>
      <c r="G274" s="177">
        <f>E262</f>
        <v>1400</v>
      </c>
      <c r="H274" s="178"/>
      <c r="I274" s="177">
        <f>B111+D102</f>
        <v>5.8999999999999995</v>
      </c>
      <c r="J274" s="178"/>
      <c r="K274" s="177">
        <f t="shared" si="6"/>
        <v>8260</v>
      </c>
      <c r="L274" s="241"/>
      <c r="M274" s="17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18"/>
      <c r="AF274" s="18"/>
      <c r="AG274" s="18"/>
      <c r="AH274" s="18"/>
      <c r="AI274" s="18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</row>
    <row r="275" spans="1:51">
      <c r="A275" s="8"/>
      <c r="B275" s="8"/>
      <c r="C275" s="236" t="s">
        <v>36</v>
      </c>
      <c r="D275" s="236"/>
      <c r="E275" s="236" t="s">
        <v>36</v>
      </c>
      <c r="F275" s="236"/>
      <c r="G275" s="177">
        <f>G266</f>
        <v>900</v>
      </c>
      <c r="H275" s="178"/>
      <c r="I275" s="177">
        <f>B111-F108</f>
        <v>3.6499999999999995</v>
      </c>
      <c r="J275" s="178"/>
      <c r="K275" s="177">
        <f t="shared" si="6"/>
        <v>3284.9999999999995</v>
      </c>
      <c r="L275" s="241"/>
      <c r="M275" s="17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18"/>
      <c r="AF275" s="18"/>
      <c r="AG275" s="18"/>
      <c r="AH275" s="18"/>
      <c r="AI275" s="18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</row>
    <row r="276" spans="1:51">
      <c r="A276" s="8"/>
      <c r="B276" s="8"/>
      <c r="C276" s="226" t="s">
        <v>112</v>
      </c>
      <c r="D276" s="226"/>
      <c r="E276" s="231"/>
      <c r="F276" s="231"/>
      <c r="G276" s="177">
        <f>SUM(G270:H275)</f>
        <v>7266.2102792586347</v>
      </c>
      <c r="H276" s="178"/>
      <c r="I276" s="177"/>
      <c r="J276" s="178"/>
      <c r="K276" s="232">
        <f>SUM(K270:M275)</f>
        <v>19408.552757540496</v>
      </c>
      <c r="L276" s="233"/>
      <c r="M276" s="234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18"/>
      <c r="AF276" s="18"/>
      <c r="AG276" s="18"/>
      <c r="AH276" s="18"/>
      <c r="AI276" s="18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</row>
    <row r="277" spans="1:5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19" t="s">
        <v>264</v>
      </c>
      <c r="AD277" s="8"/>
      <c r="AE277" s="18"/>
      <c r="AF277" s="18"/>
      <c r="AG277" s="18"/>
      <c r="AH277" s="18"/>
      <c r="AI277" s="18"/>
      <c r="AJ277" s="54"/>
      <c r="AK277" s="54"/>
      <c r="AL277" s="54"/>
      <c r="AM277" s="19" t="s">
        <v>265</v>
      </c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</row>
    <row r="278" spans="1:51">
      <c r="A278" s="8"/>
      <c r="B278" s="85" t="s">
        <v>190</v>
      </c>
      <c r="C278" s="86" t="s">
        <v>191</v>
      </c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18"/>
      <c r="AF278" s="18"/>
      <c r="AG278" s="18"/>
      <c r="AH278" s="18"/>
      <c r="AI278" s="18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</row>
    <row r="279" spans="1:51">
      <c r="A279" s="8"/>
      <c r="B279" s="8"/>
      <c r="C279" s="59" t="s">
        <v>194</v>
      </c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4"/>
      <c r="Q279" s="8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18"/>
      <c r="AF279" s="18"/>
      <c r="AG279" s="18"/>
      <c r="AH279" s="18"/>
      <c r="AI279" s="18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</row>
    <row r="280" spans="1:51">
      <c r="A280" s="8"/>
      <c r="B280" s="8"/>
      <c r="C280" s="59" t="s">
        <v>193</v>
      </c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18"/>
      <c r="AF280" s="18"/>
      <c r="AG280" s="18"/>
      <c r="AH280" s="18"/>
      <c r="AI280" s="18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</row>
    <row r="281" spans="1:5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18"/>
      <c r="AF281" s="18"/>
      <c r="AG281" s="18"/>
      <c r="AH281" s="18"/>
      <c r="AI281" s="18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</row>
    <row r="282" spans="1:51" ht="18">
      <c r="A282" s="8"/>
      <c r="B282" s="8"/>
      <c r="C282" s="245" t="s">
        <v>195</v>
      </c>
      <c r="D282" s="245"/>
      <c r="E282" s="245"/>
      <c r="F282" s="109" t="s">
        <v>206</v>
      </c>
      <c r="G282" s="109" t="s">
        <v>207</v>
      </c>
      <c r="H282" s="109" t="s">
        <v>208</v>
      </c>
      <c r="I282" s="109" t="s">
        <v>209</v>
      </c>
      <c r="J282" s="110" t="s">
        <v>210</v>
      </c>
      <c r="K282" s="111" t="s">
        <v>211</v>
      </c>
      <c r="L282" s="109" t="s">
        <v>212</v>
      </c>
      <c r="M282" s="109" t="s">
        <v>213</v>
      </c>
      <c r="N282" s="109" t="s">
        <v>214</v>
      </c>
      <c r="O282" s="246" t="s">
        <v>215</v>
      </c>
      <c r="P282" s="246"/>
      <c r="Q282" s="245" t="s">
        <v>196</v>
      </c>
      <c r="R282" s="245"/>
      <c r="S282" s="245"/>
      <c r="T282" s="245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18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</row>
    <row r="283" spans="1:51" ht="15" customHeight="1">
      <c r="A283" s="8"/>
      <c r="B283" s="8"/>
      <c r="C283" s="245" t="s">
        <v>202</v>
      </c>
      <c r="D283" s="245"/>
      <c r="E283" s="245"/>
      <c r="F283" s="153">
        <v>0.9</v>
      </c>
      <c r="G283" s="153">
        <v>0.65</v>
      </c>
      <c r="H283" s="153">
        <v>1</v>
      </c>
      <c r="I283" s="153">
        <v>0</v>
      </c>
      <c r="J283" s="154">
        <v>0</v>
      </c>
      <c r="K283" s="155">
        <v>1.5</v>
      </c>
      <c r="L283" s="153">
        <v>1.75</v>
      </c>
      <c r="M283" s="153">
        <v>0</v>
      </c>
      <c r="N283" s="153">
        <v>1.75</v>
      </c>
      <c r="O283" s="243">
        <v>0.5</v>
      </c>
      <c r="P283" s="244"/>
      <c r="Q283" s="236" t="s">
        <v>198</v>
      </c>
      <c r="R283" s="236"/>
      <c r="S283" s="236"/>
      <c r="T283" s="236"/>
      <c r="U283" s="106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18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</row>
    <row r="284" spans="1:51" ht="15" customHeight="1">
      <c r="A284" s="8"/>
      <c r="B284" s="8"/>
      <c r="C284" s="245" t="s">
        <v>203</v>
      </c>
      <c r="D284" s="245"/>
      <c r="E284" s="245"/>
      <c r="F284" s="153">
        <v>1.25</v>
      </c>
      <c r="G284" s="153">
        <v>1.5</v>
      </c>
      <c r="H284" s="153">
        <v>1.35</v>
      </c>
      <c r="I284" s="153">
        <v>1.75</v>
      </c>
      <c r="J284" s="154">
        <v>1.75</v>
      </c>
      <c r="K284" s="155">
        <v>1.5</v>
      </c>
      <c r="L284" s="153">
        <v>1.75</v>
      </c>
      <c r="M284" s="153">
        <v>0</v>
      </c>
      <c r="N284" s="153">
        <v>1.75</v>
      </c>
      <c r="O284" s="243">
        <v>0.5</v>
      </c>
      <c r="P284" s="244"/>
      <c r="Q284" s="236" t="s">
        <v>216</v>
      </c>
      <c r="R284" s="236"/>
      <c r="S284" s="236"/>
      <c r="T284" s="236"/>
      <c r="U284" s="106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18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</row>
    <row r="285" spans="1:51" ht="15" customHeight="1">
      <c r="A285" s="8"/>
      <c r="B285" s="8"/>
      <c r="C285" s="245" t="s">
        <v>204</v>
      </c>
      <c r="D285" s="245"/>
      <c r="E285" s="245"/>
      <c r="F285" s="153">
        <v>0.9</v>
      </c>
      <c r="G285" s="153">
        <v>0.65</v>
      </c>
      <c r="H285" s="153">
        <v>1</v>
      </c>
      <c r="I285" s="153">
        <v>0</v>
      </c>
      <c r="J285" s="154">
        <v>0</v>
      </c>
      <c r="K285" s="155">
        <v>1.5</v>
      </c>
      <c r="L285" s="153">
        <v>0</v>
      </c>
      <c r="M285" s="153">
        <v>1.4</v>
      </c>
      <c r="N285" s="153">
        <v>0</v>
      </c>
      <c r="O285" s="243">
        <v>0.5</v>
      </c>
      <c r="P285" s="244"/>
      <c r="Q285" s="236" t="s">
        <v>198</v>
      </c>
      <c r="R285" s="236"/>
      <c r="S285" s="236"/>
      <c r="T285" s="236"/>
      <c r="U285" s="106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18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</row>
    <row r="286" spans="1:51" ht="15" customHeight="1">
      <c r="A286" s="8"/>
      <c r="B286" s="8"/>
      <c r="C286" s="245" t="s">
        <v>205</v>
      </c>
      <c r="D286" s="245"/>
      <c r="E286" s="245"/>
      <c r="F286" s="153">
        <v>1.25</v>
      </c>
      <c r="G286" s="153">
        <v>1.5</v>
      </c>
      <c r="H286" s="153">
        <v>1.35</v>
      </c>
      <c r="I286" s="153">
        <v>0</v>
      </c>
      <c r="J286" s="154">
        <v>0</v>
      </c>
      <c r="K286" s="155">
        <v>1.5</v>
      </c>
      <c r="L286" s="153">
        <v>0</v>
      </c>
      <c r="M286" s="153">
        <v>1.4</v>
      </c>
      <c r="N286" s="153">
        <v>0</v>
      </c>
      <c r="O286" s="243">
        <v>0.5</v>
      </c>
      <c r="P286" s="244"/>
      <c r="Q286" s="236" t="s">
        <v>216</v>
      </c>
      <c r="R286" s="236"/>
      <c r="S286" s="236"/>
      <c r="T286" s="236"/>
      <c r="U286" s="106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18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</row>
    <row r="287" spans="1:5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18"/>
      <c r="AF287" s="18"/>
      <c r="AG287" s="18"/>
      <c r="AH287" s="18"/>
      <c r="AI287" s="18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</row>
    <row r="288" spans="1:51">
      <c r="A288" s="8"/>
      <c r="B288" s="8"/>
      <c r="C288" s="107" t="s">
        <v>217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18"/>
      <c r="AF288" s="18"/>
      <c r="AG288" s="18"/>
      <c r="AH288" s="18"/>
      <c r="AI288" s="18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</row>
    <row r="289" spans="1:51" ht="15">
      <c r="A289" s="8"/>
      <c r="B289" s="8"/>
      <c r="C289" s="261" t="s">
        <v>230</v>
      </c>
      <c r="D289" s="261"/>
      <c r="E289" s="261"/>
      <c r="F289" s="261"/>
      <c r="G289" s="261"/>
      <c r="H289" s="261"/>
      <c r="I289" s="261"/>
      <c r="J289" s="261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  <c r="U289" s="261"/>
      <c r="V289" s="261"/>
      <c r="W289" s="261"/>
      <c r="X289" s="261"/>
      <c r="Y289" s="261"/>
      <c r="Z289" s="261"/>
      <c r="AA289" s="261"/>
      <c r="AB289" s="8"/>
      <c r="AC289" s="8"/>
      <c r="AD289" s="8"/>
      <c r="AE289" s="18"/>
      <c r="AF289" s="18"/>
      <c r="AG289" s="18"/>
      <c r="AH289" s="18"/>
      <c r="AI289" s="18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</row>
    <row r="290" spans="1:51">
      <c r="A290" s="8"/>
      <c r="B290" s="8"/>
      <c r="C290" s="245" t="s">
        <v>165</v>
      </c>
      <c r="D290" s="245"/>
      <c r="E290" s="245" t="s">
        <v>168</v>
      </c>
      <c r="F290" s="245"/>
      <c r="G290" s="245"/>
      <c r="H290" s="245"/>
      <c r="I290" s="245"/>
      <c r="J290" s="245"/>
      <c r="K290" s="245" t="s">
        <v>169</v>
      </c>
      <c r="L290" s="245"/>
      <c r="M290" s="245" t="s">
        <v>142</v>
      </c>
      <c r="N290" s="245"/>
      <c r="O290" s="245" t="s">
        <v>170</v>
      </c>
      <c r="P290" s="245"/>
      <c r="Q290" s="245"/>
      <c r="R290" s="245"/>
      <c r="S290" s="245" t="s">
        <v>218</v>
      </c>
      <c r="T290" s="245"/>
      <c r="U290" s="245" t="s">
        <v>172</v>
      </c>
      <c r="V290" s="245"/>
      <c r="W290" s="245"/>
      <c r="X290" s="245"/>
      <c r="Y290" s="247" t="s">
        <v>227</v>
      </c>
      <c r="Z290" s="247"/>
      <c r="AA290" s="247"/>
      <c r="AB290" s="8"/>
      <c r="AC290" s="8"/>
      <c r="AD290" s="8"/>
      <c r="AE290" s="18"/>
      <c r="AF290" s="18"/>
      <c r="AG290" s="18"/>
      <c r="AH290" s="18"/>
      <c r="AI290" s="18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</row>
    <row r="291" spans="1:51" ht="15">
      <c r="A291" s="8"/>
      <c r="B291" s="8"/>
      <c r="C291" s="245" t="s">
        <v>164</v>
      </c>
      <c r="D291" s="245"/>
      <c r="E291" s="245" t="s">
        <v>219</v>
      </c>
      <c r="F291" s="245"/>
      <c r="G291" s="245" t="s">
        <v>220</v>
      </c>
      <c r="H291" s="245"/>
      <c r="I291" s="245" t="s">
        <v>19</v>
      </c>
      <c r="J291" s="245"/>
      <c r="K291" s="245" t="s">
        <v>20</v>
      </c>
      <c r="L291" s="245"/>
      <c r="M291" s="245" t="s">
        <v>142</v>
      </c>
      <c r="N291" s="245"/>
      <c r="O291" s="245" t="s">
        <v>221</v>
      </c>
      <c r="P291" s="245"/>
      <c r="Q291" s="245" t="s">
        <v>222</v>
      </c>
      <c r="R291" s="245"/>
      <c r="S291" s="245" t="s">
        <v>223</v>
      </c>
      <c r="T291" s="245"/>
      <c r="U291" s="245" t="s">
        <v>224</v>
      </c>
      <c r="V291" s="245"/>
      <c r="W291" s="245" t="s">
        <v>225</v>
      </c>
      <c r="X291" s="245"/>
      <c r="Y291" s="247"/>
      <c r="Z291" s="247"/>
      <c r="AA291" s="247"/>
      <c r="AB291" s="8"/>
      <c r="AC291" s="8"/>
      <c r="AD291" s="8"/>
      <c r="AE291" s="18"/>
      <c r="AF291" s="18"/>
      <c r="AG291" s="18"/>
      <c r="AH291" s="18"/>
      <c r="AI291" s="18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</row>
    <row r="292" spans="1:51" ht="15">
      <c r="A292" s="8"/>
      <c r="B292" s="8"/>
      <c r="C292" s="245" t="s">
        <v>166</v>
      </c>
      <c r="D292" s="245"/>
      <c r="E292" s="248">
        <f>G234</f>
        <v>11684.999999999998</v>
      </c>
      <c r="F292" s="245"/>
      <c r="G292" s="248">
        <f>G235</f>
        <v>375</v>
      </c>
      <c r="H292" s="245"/>
      <c r="I292" s="248">
        <f>G236</f>
        <v>2250</v>
      </c>
      <c r="J292" s="245"/>
      <c r="K292" s="248">
        <f>G237</f>
        <v>66</v>
      </c>
      <c r="L292" s="245"/>
      <c r="M292" s="248">
        <f>G238</f>
        <v>3474.4</v>
      </c>
      <c r="N292" s="245"/>
      <c r="O292" s="248">
        <f>G239</f>
        <v>1289.8135162729502</v>
      </c>
      <c r="P292" s="245"/>
      <c r="Q292" s="248">
        <f>G240</f>
        <v>318.21057144891864</v>
      </c>
      <c r="R292" s="245"/>
      <c r="S292" s="248">
        <f>G241</f>
        <v>18420.5</v>
      </c>
      <c r="T292" s="245"/>
      <c r="U292" s="248">
        <f>G242</f>
        <v>632</v>
      </c>
      <c r="V292" s="245"/>
      <c r="W292" s="248">
        <f>G243</f>
        <v>536.29088308191092</v>
      </c>
      <c r="X292" s="245"/>
      <c r="Y292" s="245" t="s">
        <v>226</v>
      </c>
      <c r="Z292" s="245"/>
      <c r="AA292" s="245"/>
      <c r="AB292" s="8"/>
      <c r="AC292" s="8"/>
      <c r="AD292" s="8"/>
      <c r="AE292" s="18"/>
      <c r="AF292" s="18"/>
      <c r="AG292" s="18"/>
      <c r="AH292" s="18"/>
      <c r="AI292" s="18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</row>
    <row r="293" spans="1:51">
      <c r="A293" s="8"/>
      <c r="B293" s="8"/>
      <c r="C293" s="249" t="s">
        <v>229</v>
      </c>
      <c r="D293" s="249"/>
      <c r="E293" s="218">
        <f>F283</f>
        <v>0.9</v>
      </c>
      <c r="F293" s="235"/>
      <c r="G293" s="218">
        <f>F283</f>
        <v>0.9</v>
      </c>
      <c r="H293" s="235"/>
      <c r="I293" s="218">
        <f>F283</f>
        <v>0.9</v>
      </c>
      <c r="J293" s="235"/>
      <c r="K293" s="218">
        <f>G283</f>
        <v>0.65</v>
      </c>
      <c r="L293" s="235"/>
      <c r="M293" s="218">
        <f>H283</f>
        <v>1</v>
      </c>
      <c r="N293" s="235"/>
      <c r="O293" s="218">
        <f>K283</f>
        <v>1.5</v>
      </c>
      <c r="P293" s="235"/>
      <c r="Q293" s="218">
        <f>K283</f>
        <v>1.5</v>
      </c>
      <c r="R293" s="235"/>
      <c r="S293" s="218">
        <f>I283</f>
        <v>0</v>
      </c>
      <c r="T293" s="235"/>
      <c r="U293" s="218">
        <f>J283</f>
        <v>0</v>
      </c>
      <c r="V293" s="235"/>
      <c r="W293" s="218">
        <f>J283</f>
        <v>0</v>
      </c>
      <c r="X293" s="235"/>
      <c r="Y293" s="218">
        <f>SUM(E294:X294)</f>
        <v>18808.336131582801</v>
      </c>
      <c r="Z293" s="218"/>
      <c r="AA293" s="218"/>
      <c r="AB293" s="8"/>
      <c r="AC293" s="8"/>
      <c r="AD293" s="8"/>
      <c r="AE293" s="18"/>
      <c r="AF293" s="18"/>
      <c r="AG293" s="18"/>
      <c r="AH293" s="18"/>
      <c r="AI293" s="18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</row>
    <row r="294" spans="1:51" ht="15.75" customHeight="1">
      <c r="A294" s="8"/>
      <c r="B294" s="8"/>
      <c r="C294" s="256" t="s">
        <v>202</v>
      </c>
      <c r="D294" s="256"/>
      <c r="E294" s="218">
        <f>E292*E293</f>
        <v>10516.499999999998</v>
      </c>
      <c r="F294" s="235"/>
      <c r="G294" s="218">
        <f t="shared" ref="G294" si="7">G292*G293</f>
        <v>337.5</v>
      </c>
      <c r="H294" s="235"/>
      <c r="I294" s="218">
        <f t="shared" ref="I294" si="8">I292*I293</f>
        <v>2025</v>
      </c>
      <c r="J294" s="235"/>
      <c r="K294" s="218">
        <f t="shared" ref="K294" si="9">K292*K293</f>
        <v>42.9</v>
      </c>
      <c r="L294" s="235"/>
      <c r="M294" s="218">
        <f t="shared" ref="M294" si="10">M292*M293</f>
        <v>3474.4</v>
      </c>
      <c r="N294" s="235"/>
      <c r="O294" s="218">
        <f t="shared" ref="O294" si="11">O292*O293</f>
        <v>1934.7202744094252</v>
      </c>
      <c r="P294" s="235"/>
      <c r="Q294" s="218">
        <f t="shared" ref="Q294" si="12">Q292*Q293</f>
        <v>477.31585717337794</v>
      </c>
      <c r="R294" s="235"/>
      <c r="S294" s="218">
        <f t="shared" ref="S294" si="13">S292*S293</f>
        <v>0</v>
      </c>
      <c r="T294" s="235"/>
      <c r="U294" s="218">
        <f t="shared" ref="U294" si="14">U292*U293</f>
        <v>0</v>
      </c>
      <c r="V294" s="235"/>
      <c r="W294" s="218">
        <f t="shared" ref="W294" si="15">W292*W293</f>
        <v>0</v>
      </c>
      <c r="X294" s="235"/>
      <c r="Y294" s="218"/>
      <c r="Z294" s="218"/>
      <c r="AA294" s="218"/>
      <c r="AB294" s="8"/>
      <c r="AC294" s="8"/>
      <c r="AD294" s="8"/>
      <c r="AE294" s="18"/>
      <c r="AF294" s="18"/>
      <c r="AG294" s="18"/>
      <c r="AH294" s="18"/>
      <c r="AI294" s="18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</row>
    <row r="295" spans="1:51" ht="15.75" customHeight="1">
      <c r="A295" s="8"/>
      <c r="B295" s="8"/>
      <c r="C295" s="257" t="s">
        <v>229</v>
      </c>
      <c r="D295" s="258"/>
      <c r="E295" s="218">
        <f>F284</f>
        <v>1.25</v>
      </c>
      <c r="F295" s="235"/>
      <c r="G295" s="218">
        <f>F284</f>
        <v>1.25</v>
      </c>
      <c r="H295" s="235"/>
      <c r="I295" s="218">
        <f>F284</f>
        <v>1.25</v>
      </c>
      <c r="J295" s="235"/>
      <c r="K295" s="218">
        <f>G284</f>
        <v>1.5</v>
      </c>
      <c r="L295" s="235"/>
      <c r="M295" s="218">
        <f>H284</f>
        <v>1.35</v>
      </c>
      <c r="N295" s="235"/>
      <c r="O295" s="218">
        <f>K284</f>
        <v>1.5</v>
      </c>
      <c r="P295" s="235"/>
      <c r="Q295" s="218">
        <f>K284</f>
        <v>1.5</v>
      </c>
      <c r="R295" s="235"/>
      <c r="S295" s="218">
        <f>I284</f>
        <v>1.75</v>
      </c>
      <c r="T295" s="235"/>
      <c r="U295" s="218">
        <f>J284</f>
        <v>1.75</v>
      </c>
      <c r="V295" s="235"/>
      <c r="W295" s="218">
        <f>J284</f>
        <v>1.75</v>
      </c>
      <c r="X295" s="235"/>
      <c r="Y295" s="250">
        <f>SUM(E296:X296)</f>
        <v>59369.360176976152</v>
      </c>
      <c r="Z295" s="251"/>
      <c r="AA295" s="252"/>
      <c r="AB295" s="8"/>
      <c r="AC295" s="8"/>
      <c r="AD295" s="8"/>
      <c r="AE295" s="18"/>
      <c r="AF295" s="18"/>
      <c r="AG295" s="18"/>
      <c r="AH295" s="18"/>
      <c r="AI295" s="18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</row>
    <row r="296" spans="1:51" ht="15.75" customHeight="1">
      <c r="A296" s="8"/>
      <c r="B296" s="8"/>
      <c r="C296" s="259" t="s">
        <v>203</v>
      </c>
      <c r="D296" s="260"/>
      <c r="E296" s="218">
        <f>E292*E295</f>
        <v>14606.249999999998</v>
      </c>
      <c r="F296" s="235"/>
      <c r="G296" s="218">
        <f t="shared" ref="G296" si="16">G292*G295</f>
        <v>468.75</v>
      </c>
      <c r="H296" s="235"/>
      <c r="I296" s="218">
        <f t="shared" ref="I296" si="17">I292*I295</f>
        <v>2812.5</v>
      </c>
      <c r="J296" s="235"/>
      <c r="K296" s="218">
        <f t="shared" ref="K296" si="18">K292*K295</f>
        <v>99</v>
      </c>
      <c r="L296" s="235"/>
      <c r="M296" s="218">
        <f t="shared" ref="M296" si="19">M292*M295</f>
        <v>4690.4400000000005</v>
      </c>
      <c r="N296" s="235"/>
      <c r="O296" s="218">
        <f t="shared" ref="O296" si="20">O292*O295</f>
        <v>1934.7202744094252</v>
      </c>
      <c r="P296" s="235"/>
      <c r="Q296" s="218">
        <f t="shared" ref="Q296" si="21">Q292*Q295</f>
        <v>477.31585717337794</v>
      </c>
      <c r="R296" s="235"/>
      <c r="S296" s="218">
        <f t="shared" ref="S296" si="22">S292*S295</f>
        <v>32235.875</v>
      </c>
      <c r="T296" s="235"/>
      <c r="U296" s="218">
        <f t="shared" ref="U296" si="23">U292*U295</f>
        <v>1106</v>
      </c>
      <c r="V296" s="235"/>
      <c r="W296" s="218">
        <f t="shared" ref="W296" si="24">W292*W295</f>
        <v>938.50904539334408</v>
      </c>
      <c r="X296" s="235"/>
      <c r="Y296" s="253"/>
      <c r="Z296" s="254"/>
      <c r="AA296" s="255"/>
      <c r="AB296" s="8"/>
      <c r="AC296" s="8"/>
      <c r="AD296" s="8"/>
      <c r="AE296" s="18"/>
      <c r="AF296" s="18"/>
      <c r="AG296" s="18"/>
      <c r="AH296" s="18"/>
      <c r="AI296" s="18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</row>
    <row r="297" spans="1:51">
      <c r="A297" s="8"/>
      <c r="B297" s="8"/>
      <c r="C297" s="257" t="s">
        <v>229</v>
      </c>
      <c r="D297" s="258"/>
      <c r="E297" s="218">
        <f>F285</f>
        <v>0.9</v>
      </c>
      <c r="F297" s="235"/>
      <c r="G297" s="218">
        <f>F285</f>
        <v>0.9</v>
      </c>
      <c r="H297" s="235"/>
      <c r="I297" s="218">
        <f>F285</f>
        <v>0.9</v>
      </c>
      <c r="J297" s="235"/>
      <c r="K297" s="218">
        <f>G285</f>
        <v>0.65</v>
      </c>
      <c r="L297" s="235"/>
      <c r="M297" s="218">
        <f>H285</f>
        <v>1</v>
      </c>
      <c r="N297" s="235"/>
      <c r="O297" s="218">
        <f>K285</f>
        <v>1.5</v>
      </c>
      <c r="P297" s="235"/>
      <c r="Q297" s="218">
        <f>K285</f>
        <v>1.5</v>
      </c>
      <c r="R297" s="235"/>
      <c r="S297" s="218">
        <f>I285</f>
        <v>0</v>
      </c>
      <c r="T297" s="235"/>
      <c r="U297" s="218">
        <f>J285</f>
        <v>0</v>
      </c>
      <c r="V297" s="235"/>
      <c r="W297" s="218">
        <f>J285</f>
        <v>0</v>
      </c>
      <c r="X297" s="235"/>
      <c r="Y297" s="250">
        <f t="shared" ref="Y297" si="25">SUM(E298:X298)</f>
        <v>18808.336131582801</v>
      </c>
      <c r="Z297" s="251"/>
      <c r="AA297" s="252"/>
      <c r="AB297" s="8"/>
      <c r="AC297" s="8"/>
      <c r="AD297" s="8"/>
      <c r="AE297" s="18"/>
      <c r="AF297" s="18"/>
      <c r="AG297" s="18"/>
      <c r="AH297" s="18"/>
      <c r="AI297" s="18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</row>
    <row r="298" spans="1:51">
      <c r="A298" s="8"/>
      <c r="B298" s="8"/>
      <c r="C298" s="259" t="s">
        <v>204</v>
      </c>
      <c r="D298" s="260"/>
      <c r="E298" s="218">
        <f>E292*E297</f>
        <v>10516.499999999998</v>
      </c>
      <c r="F298" s="235"/>
      <c r="G298" s="218">
        <f t="shared" ref="G298" si="26">G292*G297</f>
        <v>337.5</v>
      </c>
      <c r="H298" s="235"/>
      <c r="I298" s="218">
        <f t="shared" ref="I298" si="27">I292*I297</f>
        <v>2025</v>
      </c>
      <c r="J298" s="235"/>
      <c r="K298" s="218">
        <f t="shared" ref="K298" si="28">K292*K297</f>
        <v>42.9</v>
      </c>
      <c r="L298" s="235"/>
      <c r="M298" s="218">
        <f t="shared" ref="M298" si="29">M292*M297</f>
        <v>3474.4</v>
      </c>
      <c r="N298" s="235"/>
      <c r="O298" s="218">
        <f t="shared" ref="O298" si="30">O292*O297</f>
        <v>1934.7202744094252</v>
      </c>
      <c r="P298" s="235"/>
      <c r="Q298" s="218">
        <f t="shared" ref="Q298" si="31">Q292*Q297</f>
        <v>477.31585717337794</v>
      </c>
      <c r="R298" s="235"/>
      <c r="S298" s="218">
        <f t="shared" ref="S298" si="32">S292*S297</f>
        <v>0</v>
      </c>
      <c r="T298" s="235"/>
      <c r="U298" s="218">
        <f t="shared" ref="U298" si="33">U292*U297</f>
        <v>0</v>
      </c>
      <c r="V298" s="235"/>
      <c r="W298" s="218">
        <f t="shared" ref="W298" si="34">W292*W297</f>
        <v>0</v>
      </c>
      <c r="X298" s="235"/>
      <c r="Y298" s="253"/>
      <c r="Z298" s="254"/>
      <c r="AA298" s="255"/>
      <c r="AB298" s="8"/>
      <c r="AC298" s="8"/>
      <c r="AD298" s="8"/>
      <c r="AE298" s="18"/>
      <c r="AF298" s="18"/>
      <c r="AG298" s="18"/>
      <c r="AH298" s="18"/>
      <c r="AI298" s="18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</row>
    <row r="299" spans="1:51">
      <c r="A299" s="8"/>
      <c r="B299" s="8"/>
      <c r="C299" s="257" t="s">
        <v>229</v>
      </c>
      <c r="D299" s="258"/>
      <c r="E299" s="218">
        <f>F286</f>
        <v>1.25</v>
      </c>
      <c r="F299" s="235"/>
      <c r="G299" s="218">
        <f>F286</f>
        <v>1.25</v>
      </c>
      <c r="H299" s="235"/>
      <c r="I299" s="218">
        <f>F286</f>
        <v>1.25</v>
      </c>
      <c r="J299" s="235"/>
      <c r="K299" s="218">
        <f>G286</f>
        <v>1.5</v>
      </c>
      <c r="L299" s="235"/>
      <c r="M299" s="218">
        <f>H286</f>
        <v>1.35</v>
      </c>
      <c r="N299" s="235"/>
      <c r="O299" s="218">
        <f>K286</f>
        <v>1.5</v>
      </c>
      <c r="P299" s="235"/>
      <c r="Q299" s="218">
        <f>K286</f>
        <v>1.5</v>
      </c>
      <c r="R299" s="235"/>
      <c r="S299" s="218">
        <f>I286</f>
        <v>0</v>
      </c>
      <c r="T299" s="235"/>
      <c r="U299" s="218">
        <f>J286</f>
        <v>0</v>
      </c>
      <c r="V299" s="235"/>
      <c r="W299" s="218">
        <f>J286</f>
        <v>0</v>
      </c>
      <c r="X299" s="235"/>
      <c r="Y299" s="250">
        <f t="shared" ref="Y299" si="35">SUM(E300:X300)</f>
        <v>25088.976131582804</v>
      </c>
      <c r="Z299" s="251"/>
      <c r="AA299" s="252"/>
      <c r="AB299" s="8"/>
      <c r="AC299" s="8"/>
      <c r="AD299" s="8"/>
      <c r="AE299" s="18"/>
      <c r="AF299" s="18"/>
      <c r="AG299" s="18"/>
      <c r="AH299" s="18"/>
      <c r="AI299" s="18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</row>
    <row r="300" spans="1:51">
      <c r="A300" s="8"/>
      <c r="B300" s="8"/>
      <c r="C300" s="259" t="s">
        <v>205</v>
      </c>
      <c r="D300" s="260"/>
      <c r="E300" s="218">
        <f>E292*E299</f>
        <v>14606.249999999998</v>
      </c>
      <c r="F300" s="235"/>
      <c r="G300" s="218">
        <f t="shared" ref="G300" si="36">G292*G299</f>
        <v>468.75</v>
      </c>
      <c r="H300" s="235"/>
      <c r="I300" s="218">
        <f t="shared" ref="I300" si="37">I292*I299</f>
        <v>2812.5</v>
      </c>
      <c r="J300" s="235"/>
      <c r="K300" s="218">
        <f t="shared" ref="K300" si="38">K292*K299</f>
        <v>99</v>
      </c>
      <c r="L300" s="235"/>
      <c r="M300" s="218">
        <f t="shared" ref="M300" si="39">M292*M299</f>
        <v>4690.4400000000005</v>
      </c>
      <c r="N300" s="235"/>
      <c r="O300" s="218">
        <f t="shared" ref="O300" si="40">O292*O299</f>
        <v>1934.7202744094252</v>
      </c>
      <c r="P300" s="235"/>
      <c r="Q300" s="218">
        <f t="shared" ref="Q300" si="41">Q292*Q299</f>
        <v>477.31585717337794</v>
      </c>
      <c r="R300" s="235"/>
      <c r="S300" s="218">
        <f t="shared" ref="S300" si="42">S292*S299</f>
        <v>0</v>
      </c>
      <c r="T300" s="235"/>
      <c r="U300" s="218">
        <f t="shared" ref="U300" si="43">U292*U299</f>
        <v>0</v>
      </c>
      <c r="V300" s="235"/>
      <c r="W300" s="218">
        <f t="shared" ref="W300" si="44">W292*W299</f>
        <v>0</v>
      </c>
      <c r="X300" s="235"/>
      <c r="Y300" s="253"/>
      <c r="Z300" s="254"/>
      <c r="AA300" s="255"/>
      <c r="AB300" s="8"/>
      <c r="AC300" s="8"/>
      <c r="AD300" s="8"/>
      <c r="AE300" s="18"/>
      <c r="AF300" s="18"/>
      <c r="AG300" s="18"/>
      <c r="AH300" s="18"/>
      <c r="AI300" s="18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</row>
    <row r="301" spans="1:5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18"/>
      <c r="AF301" s="18"/>
      <c r="AG301" s="18"/>
      <c r="AH301" s="18"/>
      <c r="AI301" s="18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</row>
    <row r="302" spans="1:51" ht="15">
      <c r="A302" s="8"/>
      <c r="B302" s="8"/>
      <c r="C302" s="261" t="s">
        <v>231</v>
      </c>
      <c r="D302" s="261"/>
      <c r="E302" s="261"/>
      <c r="F302" s="261"/>
      <c r="G302" s="261"/>
      <c r="H302" s="261"/>
      <c r="I302" s="261"/>
      <c r="J302" s="261"/>
      <c r="K302" s="261"/>
      <c r="L302" s="261"/>
      <c r="M302" s="261"/>
      <c r="N302" s="261"/>
      <c r="O302" s="261"/>
      <c r="P302" s="261"/>
      <c r="Q302" s="261"/>
      <c r="R302" s="261"/>
      <c r="S302" s="261"/>
      <c r="T302" s="261"/>
      <c r="U302" s="261"/>
      <c r="V302" s="261"/>
      <c r="W302" s="261"/>
      <c r="X302" s="261"/>
      <c r="Y302" s="261"/>
      <c r="Z302" s="261"/>
      <c r="AA302" s="261"/>
      <c r="AB302" s="8"/>
      <c r="AC302" s="8"/>
      <c r="AD302" s="8"/>
      <c r="AE302" s="18"/>
      <c r="AF302" s="18"/>
      <c r="AG302" s="18"/>
      <c r="AH302" s="18"/>
      <c r="AI302" s="18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</row>
    <row r="303" spans="1:51">
      <c r="A303" s="8"/>
      <c r="B303" s="8"/>
      <c r="C303" s="245" t="s">
        <v>165</v>
      </c>
      <c r="D303" s="245"/>
      <c r="E303" s="245" t="s">
        <v>168</v>
      </c>
      <c r="F303" s="245"/>
      <c r="G303" s="245"/>
      <c r="H303" s="245"/>
      <c r="I303" s="245"/>
      <c r="J303" s="245"/>
      <c r="K303" s="245" t="s">
        <v>169</v>
      </c>
      <c r="L303" s="245"/>
      <c r="M303" s="245" t="s">
        <v>142</v>
      </c>
      <c r="N303" s="245"/>
      <c r="O303" s="245" t="s">
        <v>170</v>
      </c>
      <c r="P303" s="245"/>
      <c r="Q303" s="245"/>
      <c r="R303" s="245"/>
      <c r="S303" s="245" t="s">
        <v>218</v>
      </c>
      <c r="T303" s="245"/>
      <c r="U303" s="245" t="s">
        <v>172</v>
      </c>
      <c r="V303" s="245"/>
      <c r="W303" s="245"/>
      <c r="X303" s="245"/>
      <c r="Y303" s="247" t="s">
        <v>227</v>
      </c>
      <c r="Z303" s="247"/>
      <c r="AA303" s="247"/>
      <c r="AB303" s="8"/>
      <c r="AC303" s="8"/>
      <c r="AD303" s="8"/>
      <c r="AE303" s="18"/>
      <c r="AF303" s="18"/>
      <c r="AG303" s="18"/>
      <c r="AH303" s="18"/>
      <c r="AI303" s="18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</row>
    <row r="304" spans="1:51" ht="15">
      <c r="A304" s="8"/>
      <c r="B304" s="8"/>
      <c r="C304" s="245" t="s">
        <v>164</v>
      </c>
      <c r="D304" s="245"/>
      <c r="E304" s="245" t="s">
        <v>219</v>
      </c>
      <c r="F304" s="245"/>
      <c r="G304" s="245" t="s">
        <v>220</v>
      </c>
      <c r="H304" s="245"/>
      <c r="I304" s="245" t="s">
        <v>19</v>
      </c>
      <c r="J304" s="245"/>
      <c r="K304" s="245" t="s">
        <v>20</v>
      </c>
      <c r="L304" s="245"/>
      <c r="M304" s="245" t="s">
        <v>142</v>
      </c>
      <c r="N304" s="245"/>
      <c r="O304" s="245" t="s">
        <v>221</v>
      </c>
      <c r="P304" s="245"/>
      <c r="Q304" s="245" t="s">
        <v>222</v>
      </c>
      <c r="R304" s="245"/>
      <c r="S304" s="245" t="s">
        <v>223</v>
      </c>
      <c r="T304" s="245"/>
      <c r="U304" s="245" t="s">
        <v>224</v>
      </c>
      <c r="V304" s="245"/>
      <c r="W304" s="245" t="s">
        <v>225</v>
      </c>
      <c r="X304" s="245"/>
      <c r="Y304" s="247"/>
      <c r="Z304" s="247"/>
      <c r="AA304" s="247"/>
      <c r="AB304" s="8"/>
      <c r="AC304" s="8"/>
      <c r="AD304" s="8"/>
      <c r="AE304" s="18"/>
      <c r="AF304" s="18"/>
      <c r="AG304" s="18"/>
      <c r="AH304" s="18"/>
      <c r="AI304" s="18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</row>
    <row r="305" spans="1:51" ht="15">
      <c r="A305" s="8"/>
      <c r="B305" s="8"/>
      <c r="C305" s="245" t="s">
        <v>232</v>
      </c>
      <c r="D305" s="245"/>
      <c r="E305" s="248">
        <f>K234</f>
        <v>16273.199999999997</v>
      </c>
      <c r="F305" s="245"/>
      <c r="G305" s="248">
        <f>K235</f>
        <v>843.75</v>
      </c>
      <c r="H305" s="245"/>
      <c r="I305" s="248">
        <f>+K236</f>
        <v>3330</v>
      </c>
      <c r="J305" s="245"/>
      <c r="K305" s="248">
        <f>+K237</f>
        <v>97.679999999999993</v>
      </c>
      <c r="L305" s="245"/>
      <c r="M305" s="248">
        <f>+K238</f>
        <v>6054.6959999999999</v>
      </c>
      <c r="N305" s="245"/>
      <c r="O305" s="248">
        <f>+K239</f>
        <v>3224.5337906823756</v>
      </c>
      <c r="P305" s="245"/>
      <c r="Q305" s="248">
        <f>+K240</f>
        <v>795.52642862229663</v>
      </c>
      <c r="R305" s="245"/>
      <c r="S305" s="248">
        <f>+K241</f>
        <v>27262.34</v>
      </c>
      <c r="T305" s="245"/>
      <c r="U305" s="248">
        <f>+K242</f>
        <v>1422</v>
      </c>
      <c r="V305" s="245"/>
      <c r="W305" s="248">
        <f>+K243</f>
        <v>1340.7272077047774</v>
      </c>
      <c r="X305" s="245"/>
      <c r="Y305" s="245" t="s">
        <v>233</v>
      </c>
      <c r="Z305" s="245"/>
      <c r="AA305" s="245"/>
      <c r="AB305" s="8"/>
      <c r="AC305" s="8"/>
      <c r="AD305" s="8"/>
      <c r="AE305" s="18"/>
      <c r="AF305" s="18"/>
      <c r="AG305" s="18"/>
      <c r="AH305" s="18"/>
      <c r="AI305" s="18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</row>
    <row r="306" spans="1:51">
      <c r="A306" s="8"/>
      <c r="B306" s="8"/>
      <c r="C306" s="262" t="s">
        <v>229</v>
      </c>
      <c r="D306" s="262"/>
      <c r="E306" s="218">
        <f>E293</f>
        <v>0.9</v>
      </c>
      <c r="F306" s="235"/>
      <c r="G306" s="218">
        <f t="shared" ref="G306" si="45">G293</f>
        <v>0.9</v>
      </c>
      <c r="H306" s="235"/>
      <c r="I306" s="218">
        <f t="shared" ref="I306" si="46">I293</f>
        <v>0.9</v>
      </c>
      <c r="J306" s="235"/>
      <c r="K306" s="218">
        <f t="shared" ref="K306" si="47">K293</f>
        <v>0.65</v>
      </c>
      <c r="L306" s="235"/>
      <c r="M306" s="218">
        <f t="shared" ref="M306" si="48">M293</f>
        <v>1</v>
      </c>
      <c r="N306" s="235"/>
      <c r="O306" s="218">
        <f t="shared" ref="O306" si="49">O293</f>
        <v>1.5</v>
      </c>
      <c r="P306" s="235"/>
      <c r="Q306" s="218">
        <f t="shared" ref="Q306" si="50">Q293</f>
        <v>1.5</v>
      </c>
      <c r="R306" s="235"/>
      <c r="S306" s="218">
        <f t="shared" ref="S306" si="51">S293</f>
        <v>0</v>
      </c>
      <c r="T306" s="235"/>
      <c r="U306" s="218">
        <f t="shared" ref="U306" si="52">U293</f>
        <v>0</v>
      </c>
      <c r="V306" s="235"/>
      <c r="W306" s="218">
        <f t="shared" ref="W306" si="53">W293</f>
        <v>0</v>
      </c>
      <c r="X306" s="235"/>
      <c r="Y306" s="218">
        <f>SUM(E307:X307)</f>
        <v>30550.533328957004</v>
      </c>
      <c r="Z306" s="218"/>
      <c r="AA306" s="218"/>
      <c r="AB306" s="8"/>
      <c r="AC306" s="8"/>
      <c r="AD306" s="8"/>
      <c r="AE306" s="18"/>
      <c r="AF306" s="18"/>
      <c r="AG306" s="18"/>
      <c r="AH306" s="18"/>
      <c r="AI306" s="18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</row>
    <row r="307" spans="1:51">
      <c r="A307" s="8"/>
      <c r="B307" s="8"/>
      <c r="C307" s="263" t="s">
        <v>197</v>
      </c>
      <c r="D307" s="263"/>
      <c r="E307" s="218">
        <f>E305*E306</f>
        <v>14645.879999999997</v>
      </c>
      <c r="F307" s="235"/>
      <c r="G307" s="218">
        <f t="shared" ref="G307" si="54">G305*G306</f>
        <v>759.375</v>
      </c>
      <c r="H307" s="235"/>
      <c r="I307" s="218">
        <f t="shared" ref="I307" si="55">I305*I306</f>
        <v>2997</v>
      </c>
      <c r="J307" s="235"/>
      <c r="K307" s="218">
        <f t="shared" ref="K307" si="56">K305*K306</f>
        <v>63.491999999999997</v>
      </c>
      <c r="L307" s="235"/>
      <c r="M307" s="218">
        <f t="shared" ref="M307" si="57">M305*M306</f>
        <v>6054.6959999999999</v>
      </c>
      <c r="N307" s="235"/>
      <c r="O307" s="218">
        <f t="shared" ref="O307" si="58">O305*O306</f>
        <v>4836.8006860235637</v>
      </c>
      <c r="P307" s="235"/>
      <c r="Q307" s="218">
        <f t="shared" ref="Q307" si="59">Q305*Q306</f>
        <v>1193.2896429334451</v>
      </c>
      <c r="R307" s="235"/>
      <c r="S307" s="218">
        <f t="shared" ref="S307" si="60">S305*S306</f>
        <v>0</v>
      </c>
      <c r="T307" s="235"/>
      <c r="U307" s="218">
        <f t="shared" ref="U307" si="61">U305*U306</f>
        <v>0</v>
      </c>
      <c r="V307" s="235"/>
      <c r="W307" s="218">
        <f t="shared" ref="W307" si="62">W305*W306</f>
        <v>0</v>
      </c>
      <c r="X307" s="235"/>
      <c r="Y307" s="218"/>
      <c r="Z307" s="218"/>
      <c r="AA307" s="218"/>
      <c r="AB307" s="8"/>
      <c r="AC307" s="8"/>
      <c r="AD307" s="8"/>
      <c r="AE307" s="18"/>
      <c r="AF307" s="18"/>
      <c r="AG307" s="18"/>
      <c r="AH307" s="18"/>
      <c r="AI307" s="18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</row>
    <row r="308" spans="1:51">
      <c r="A308" s="8"/>
      <c r="B308" s="8"/>
      <c r="C308" s="257" t="s">
        <v>229</v>
      </c>
      <c r="D308" s="258"/>
      <c r="E308" s="218">
        <f>E295</f>
        <v>1.25</v>
      </c>
      <c r="F308" s="235"/>
      <c r="G308" s="218">
        <f t="shared" ref="G308" si="63">G295</f>
        <v>1.25</v>
      </c>
      <c r="H308" s="235"/>
      <c r="I308" s="218">
        <f t="shared" ref="I308" si="64">I295</f>
        <v>1.25</v>
      </c>
      <c r="J308" s="235"/>
      <c r="K308" s="218">
        <f t="shared" ref="K308" si="65">K295</f>
        <v>1.5</v>
      </c>
      <c r="L308" s="235"/>
      <c r="M308" s="218">
        <f t="shared" ref="M308" si="66">M295</f>
        <v>1.35</v>
      </c>
      <c r="N308" s="235"/>
      <c r="O308" s="218">
        <f t="shared" ref="O308" si="67">O295</f>
        <v>1.5</v>
      </c>
      <c r="P308" s="235"/>
      <c r="Q308" s="218">
        <f t="shared" ref="Q308" si="68">Q295</f>
        <v>1.5</v>
      </c>
      <c r="R308" s="235"/>
      <c r="S308" s="218">
        <f t="shared" ref="S308" si="69">S295</f>
        <v>1.75</v>
      </c>
      <c r="T308" s="235"/>
      <c r="U308" s="218">
        <f t="shared" ref="U308" si="70">U295</f>
        <v>1.75</v>
      </c>
      <c r="V308" s="235"/>
      <c r="W308" s="218">
        <f t="shared" ref="W308" si="71">W295</f>
        <v>1.75</v>
      </c>
      <c r="X308" s="235"/>
      <c r="Y308" s="250">
        <f>SUM(E309:X309)</f>
        <v>92453.005042440374</v>
      </c>
      <c r="Z308" s="251"/>
      <c r="AA308" s="252"/>
      <c r="AB308" s="8"/>
      <c r="AC308" s="8"/>
      <c r="AD308" s="8"/>
      <c r="AE308" s="18"/>
      <c r="AF308" s="18"/>
      <c r="AG308" s="18"/>
      <c r="AH308" s="18"/>
      <c r="AI308" s="18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</row>
    <row r="309" spans="1:51">
      <c r="A309" s="8"/>
      <c r="B309" s="8"/>
      <c r="C309" s="259" t="s">
        <v>199</v>
      </c>
      <c r="D309" s="260"/>
      <c r="E309" s="218">
        <f>E305*E308</f>
        <v>20341.499999999996</v>
      </c>
      <c r="F309" s="235"/>
      <c r="G309" s="218">
        <f t="shared" ref="G309" si="72">G305*G308</f>
        <v>1054.6875</v>
      </c>
      <c r="H309" s="235"/>
      <c r="I309" s="218">
        <f t="shared" ref="I309" si="73">I305*I308</f>
        <v>4162.5</v>
      </c>
      <c r="J309" s="235"/>
      <c r="K309" s="218">
        <f t="shared" ref="K309" si="74">K305*K308</f>
        <v>146.51999999999998</v>
      </c>
      <c r="L309" s="235"/>
      <c r="M309" s="218">
        <f t="shared" ref="M309" si="75">M305*M308</f>
        <v>8173.8396000000002</v>
      </c>
      <c r="N309" s="235"/>
      <c r="O309" s="218">
        <f t="shared" ref="O309" si="76">O305*O308</f>
        <v>4836.8006860235637</v>
      </c>
      <c r="P309" s="235"/>
      <c r="Q309" s="218">
        <f t="shared" ref="Q309" si="77">Q305*Q308</f>
        <v>1193.2896429334451</v>
      </c>
      <c r="R309" s="235"/>
      <c r="S309" s="218">
        <f t="shared" ref="S309" si="78">S305*S308</f>
        <v>47709.095000000001</v>
      </c>
      <c r="T309" s="235"/>
      <c r="U309" s="218">
        <f t="shared" ref="U309" si="79">U305*U308</f>
        <v>2488.5</v>
      </c>
      <c r="V309" s="235"/>
      <c r="W309" s="218">
        <f t="shared" ref="W309" si="80">W305*W308</f>
        <v>2346.2726134833601</v>
      </c>
      <c r="X309" s="235"/>
      <c r="Y309" s="253"/>
      <c r="Z309" s="254"/>
      <c r="AA309" s="255"/>
      <c r="AB309" s="8"/>
      <c r="AC309" s="8"/>
      <c r="AD309" s="8"/>
      <c r="AE309" s="18"/>
      <c r="AF309" s="18"/>
      <c r="AG309" s="18"/>
      <c r="AH309" s="18"/>
      <c r="AI309" s="18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</row>
    <row r="310" spans="1:51">
      <c r="A310" s="8"/>
      <c r="B310" s="8"/>
      <c r="C310" s="257" t="s">
        <v>229</v>
      </c>
      <c r="D310" s="258"/>
      <c r="E310" s="218">
        <f>E297</f>
        <v>0.9</v>
      </c>
      <c r="F310" s="235"/>
      <c r="G310" s="218">
        <f t="shared" ref="G310" si="81">G297</f>
        <v>0.9</v>
      </c>
      <c r="H310" s="235"/>
      <c r="I310" s="218">
        <f t="shared" ref="I310" si="82">I297</f>
        <v>0.9</v>
      </c>
      <c r="J310" s="235"/>
      <c r="K310" s="218">
        <f t="shared" ref="K310" si="83">K297</f>
        <v>0.65</v>
      </c>
      <c r="L310" s="235"/>
      <c r="M310" s="218">
        <f t="shared" ref="M310" si="84">M297</f>
        <v>1</v>
      </c>
      <c r="N310" s="235"/>
      <c r="O310" s="218">
        <f t="shared" ref="O310" si="85">O297</f>
        <v>1.5</v>
      </c>
      <c r="P310" s="235"/>
      <c r="Q310" s="218">
        <f t="shared" ref="Q310" si="86">Q297</f>
        <v>1.5</v>
      </c>
      <c r="R310" s="235"/>
      <c r="S310" s="218">
        <f t="shared" ref="S310" si="87">S297</f>
        <v>0</v>
      </c>
      <c r="T310" s="235"/>
      <c r="U310" s="218">
        <f t="shared" ref="U310" si="88">U297</f>
        <v>0</v>
      </c>
      <c r="V310" s="235"/>
      <c r="W310" s="218">
        <f t="shared" ref="W310" si="89">W297</f>
        <v>0</v>
      </c>
      <c r="X310" s="235"/>
      <c r="Y310" s="250">
        <f t="shared" ref="Y310" si="90">SUM(E311:X311)</f>
        <v>30550.533328957004</v>
      </c>
      <c r="Z310" s="251"/>
      <c r="AA310" s="252"/>
      <c r="AB310" s="8"/>
      <c r="AC310" s="8"/>
      <c r="AD310" s="8"/>
      <c r="AE310" s="18"/>
      <c r="AF310" s="18"/>
      <c r="AG310" s="18"/>
      <c r="AH310" s="18"/>
      <c r="AI310" s="18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</row>
    <row r="311" spans="1:51">
      <c r="A311" s="8"/>
      <c r="B311" s="8"/>
      <c r="C311" s="259" t="s">
        <v>200</v>
      </c>
      <c r="D311" s="260"/>
      <c r="E311" s="218">
        <f>E305*E310</f>
        <v>14645.879999999997</v>
      </c>
      <c r="F311" s="235"/>
      <c r="G311" s="218">
        <f t="shared" ref="G311" si="91">G305*G310</f>
        <v>759.375</v>
      </c>
      <c r="H311" s="235"/>
      <c r="I311" s="218">
        <f t="shared" ref="I311" si="92">I305*I310</f>
        <v>2997</v>
      </c>
      <c r="J311" s="235"/>
      <c r="K311" s="218">
        <f t="shared" ref="K311" si="93">K305*K310</f>
        <v>63.491999999999997</v>
      </c>
      <c r="L311" s="235"/>
      <c r="M311" s="218">
        <f t="shared" ref="M311" si="94">M305*M310</f>
        <v>6054.6959999999999</v>
      </c>
      <c r="N311" s="235"/>
      <c r="O311" s="218">
        <f t="shared" ref="O311" si="95">O305*O310</f>
        <v>4836.8006860235637</v>
      </c>
      <c r="P311" s="235"/>
      <c r="Q311" s="218">
        <f t="shared" ref="Q311" si="96">Q305*Q310</f>
        <v>1193.2896429334451</v>
      </c>
      <c r="R311" s="235"/>
      <c r="S311" s="218">
        <f t="shared" ref="S311" si="97">S305*S310</f>
        <v>0</v>
      </c>
      <c r="T311" s="235"/>
      <c r="U311" s="218">
        <f t="shared" ref="U311" si="98">U305*U310</f>
        <v>0</v>
      </c>
      <c r="V311" s="235"/>
      <c r="W311" s="218">
        <f t="shared" ref="W311" si="99">W305*W310</f>
        <v>0</v>
      </c>
      <c r="X311" s="235"/>
      <c r="Y311" s="253"/>
      <c r="Z311" s="254"/>
      <c r="AA311" s="255"/>
      <c r="AB311" s="8"/>
      <c r="AC311" s="8"/>
      <c r="AD311" s="8"/>
      <c r="AE311" s="18"/>
      <c r="AF311" s="18"/>
      <c r="AG311" s="18"/>
      <c r="AH311" s="18"/>
      <c r="AI311" s="18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</row>
    <row r="312" spans="1:51">
      <c r="A312" s="8"/>
      <c r="B312" s="8"/>
      <c r="C312" s="257" t="s">
        <v>229</v>
      </c>
      <c r="D312" s="258"/>
      <c r="E312" s="218">
        <f>E299</f>
        <v>1.25</v>
      </c>
      <c r="F312" s="235"/>
      <c r="G312" s="218">
        <f t="shared" ref="G312" si="100">G299</f>
        <v>1.25</v>
      </c>
      <c r="H312" s="235"/>
      <c r="I312" s="218">
        <f t="shared" ref="I312" si="101">I299</f>
        <v>1.25</v>
      </c>
      <c r="J312" s="235"/>
      <c r="K312" s="218">
        <f t="shared" ref="K312" si="102">K299</f>
        <v>1.5</v>
      </c>
      <c r="L312" s="235"/>
      <c r="M312" s="218">
        <f t="shared" ref="M312" si="103">M299</f>
        <v>1.35</v>
      </c>
      <c r="N312" s="235"/>
      <c r="O312" s="218">
        <f t="shared" ref="O312" si="104">O299</f>
        <v>1.5</v>
      </c>
      <c r="P312" s="235"/>
      <c r="Q312" s="218">
        <f t="shared" ref="Q312" si="105">Q299</f>
        <v>1.5</v>
      </c>
      <c r="R312" s="235"/>
      <c r="S312" s="218">
        <f t="shared" ref="S312" si="106">S299</f>
        <v>0</v>
      </c>
      <c r="T312" s="235"/>
      <c r="U312" s="218">
        <f t="shared" ref="U312" si="107">U299</f>
        <v>0</v>
      </c>
      <c r="V312" s="235"/>
      <c r="W312" s="218">
        <f t="shared" ref="W312" si="108">W299</f>
        <v>0</v>
      </c>
      <c r="X312" s="235"/>
      <c r="Y312" s="250">
        <f t="shared" ref="Y312" si="109">SUM(E313:X313)</f>
        <v>39909.137428957001</v>
      </c>
      <c r="Z312" s="251"/>
      <c r="AA312" s="252"/>
      <c r="AB312" s="8"/>
      <c r="AC312" s="8"/>
      <c r="AD312" s="8"/>
      <c r="AE312" s="18"/>
      <c r="AF312" s="18"/>
      <c r="AG312" s="18"/>
      <c r="AH312" s="18"/>
      <c r="AI312" s="18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</row>
    <row r="313" spans="1:51">
      <c r="A313" s="8"/>
      <c r="B313" s="8"/>
      <c r="C313" s="259" t="s">
        <v>201</v>
      </c>
      <c r="D313" s="260"/>
      <c r="E313" s="218">
        <f>E305*E312</f>
        <v>20341.499999999996</v>
      </c>
      <c r="F313" s="235"/>
      <c r="G313" s="218">
        <f t="shared" ref="G313" si="110">G305*G312</f>
        <v>1054.6875</v>
      </c>
      <c r="H313" s="235"/>
      <c r="I313" s="218">
        <f t="shared" ref="I313" si="111">I305*I312</f>
        <v>4162.5</v>
      </c>
      <c r="J313" s="235"/>
      <c r="K313" s="218">
        <f t="shared" ref="K313" si="112">K305*K312</f>
        <v>146.51999999999998</v>
      </c>
      <c r="L313" s="235"/>
      <c r="M313" s="218">
        <f t="shared" ref="M313" si="113">M305*M312</f>
        <v>8173.8396000000002</v>
      </c>
      <c r="N313" s="235"/>
      <c r="O313" s="218">
        <f t="shared" ref="O313" si="114">O305*O312</f>
        <v>4836.8006860235637</v>
      </c>
      <c r="P313" s="235"/>
      <c r="Q313" s="218">
        <f t="shared" ref="Q313" si="115">Q305*Q312</f>
        <v>1193.2896429334451</v>
      </c>
      <c r="R313" s="235"/>
      <c r="S313" s="218">
        <f t="shared" ref="S313" si="116">S305*S312</f>
        <v>0</v>
      </c>
      <c r="T313" s="235"/>
      <c r="U313" s="218">
        <f t="shared" ref="U313" si="117">U305*U312</f>
        <v>0</v>
      </c>
      <c r="V313" s="235"/>
      <c r="W313" s="218">
        <f t="shared" ref="W313" si="118">W305*W312</f>
        <v>0</v>
      </c>
      <c r="X313" s="235"/>
      <c r="Y313" s="253"/>
      <c r="Z313" s="254"/>
      <c r="AA313" s="255"/>
      <c r="AB313" s="8"/>
      <c r="AC313" s="8"/>
      <c r="AD313" s="8"/>
      <c r="AE313" s="18"/>
      <c r="AF313" s="18"/>
      <c r="AG313" s="18"/>
      <c r="AH313" s="18"/>
      <c r="AI313" s="18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</row>
    <row r="314" spans="1:5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18"/>
      <c r="AF314" s="18"/>
      <c r="AG314" s="18"/>
      <c r="AH314" s="18"/>
      <c r="AI314" s="18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</row>
    <row r="315" spans="1:51">
      <c r="A315" s="8"/>
      <c r="B315" s="8"/>
      <c r="C315" s="107" t="s">
        <v>217</v>
      </c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18"/>
      <c r="AF315" s="18"/>
      <c r="AG315" s="18"/>
      <c r="AH315" s="18"/>
      <c r="AI315" s="18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</row>
    <row r="316" spans="1:51" ht="15">
      <c r="A316" s="8"/>
      <c r="B316" s="8"/>
      <c r="C316" s="275" t="s">
        <v>234</v>
      </c>
      <c r="D316" s="275"/>
      <c r="E316" s="275"/>
      <c r="F316" s="275"/>
      <c r="G316" s="275"/>
      <c r="H316" s="275"/>
      <c r="I316" s="275"/>
      <c r="J316" s="275"/>
      <c r="K316" s="275"/>
      <c r="L316" s="275"/>
      <c r="M316" s="275"/>
      <c r="N316" s="275"/>
      <c r="O316" s="275"/>
      <c r="P316" s="275"/>
      <c r="Q316" s="275"/>
      <c r="R316" s="275"/>
      <c r="S316" s="275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18"/>
      <c r="AF316" s="18"/>
      <c r="AG316" s="18"/>
      <c r="AH316" s="18"/>
      <c r="AI316" s="18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</row>
    <row r="317" spans="1:51">
      <c r="A317" s="8"/>
      <c r="B317" s="8"/>
      <c r="C317" s="266" t="s">
        <v>165</v>
      </c>
      <c r="D317" s="267"/>
      <c r="E317" s="266" t="s">
        <v>170</v>
      </c>
      <c r="F317" s="274"/>
      <c r="G317" s="274"/>
      <c r="H317" s="267"/>
      <c r="I317" s="266" t="s">
        <v>172</v>
      </c>
      <c r="J317" s="267"/>
      <c r="K317" s="266" t="s">
        <v>35</v>
      </c>
      <c r="L317" s="267"/>
      <c r="M317" s="266" t="s">
        <v>37</v>
      </c>
      <c r="N317" s="267"/>
      <c r="O317" s="266" t="s">
        <v>36</v>
      </c>
      <c r="P317" s="274"/>
      <c r="Q317" s="268" t="s">
        <v>227</v>
      </c>
      <c r="R317" s="269"/>
      <c r="S317" s="270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18"/>
      <c r="AF317" s="18"/>
      <c r="AG317" s="18"/>
      <c r="AH317" s="18"/>
      <c r="AI317" s="18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</row>
    <row r="318" spans="1:51" ht="15">
      <c r="A318" s="8"/>
      <c r="B318" s="8"/>
      <c r="C318" s="266" t="s">
        <v>164</v>
      </c>
      <c r="D318" s="267"/>
      <c r="E318" s="266" t="s">
        <v>235</v>
      </c>
      <c r="F318" s="267"/>
      <c r="G318" s="266" t="s">
        <v>236</v>
      </c>
      <c r="H318" s="267"/>
      <c r="I318" s="266" t="s">
        <v>237</v>
      </c>
      <c r="J318" s="267"/>
      <c r="K318" s="266" t="s">
        <v>35</v>
      </c>
      <c r="L318" s="267"/>
      <c r="M318" s="266" t="s">
        <v>37</v>
      </c>
      <c r="N318" s="267"/>
      <c r="O318" s="266" t="s">
        <v>36</v>
      </c>
      <c r="P318" s="267"/>
      <c r="Q318" s="271"/>
      <c r="R318" s="272"/>
      <c r="S318" s="273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18"/>
      <c r="AF318" s="18"/>
      <c r="AG318" s="18"/>
      <c r="AH318" s="18"/>
      <c r="AI318" s="18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</row>
    <row r="319" spans="1:51" ht="15">
      <c r="A319" s="8"/>
      <c r="B319" s="8"/>
      <c r="C319" s="266" t="s">
        <v>189</v>
      </c>
      <c r="D319" s="267"/>
      <c r="E319" s="264">
        <f>G270</f>
        <v>2896.9685890277501</v>
      </c>
      <c r="F319" s="265"/>
      <c r="G319" s="264">
        <f>G271</f>
        <v>714.71264531934617</v>
      </c>
      <c r="H319" s="265"/>
      <c r="I319" s="264">
        <f>G272</f>
        <v>1204.5290449115384</v>
      </c>
      <c r="J319" s="265"/>
      <c r="K319" s="264">
        <f>G273</f>
        <v>150</v>
      </c>
      <c r="L319" s="265"/>
      <c r="M319" s="264">
        <f>G274</f>
        <v>1400</v>
      </c>
      <c r="N319" s="265"/>
      <c r="O319" s="264">
        <f>G275</f>
        <v>900</v>
      </c>
      <c r="P319" s="265"/>
      <c r="Q319" s="266" t="s">
        <v>239</v>
      </c>
      <c r="R319" s="274"/>
      <c r="S319" s="267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18"/>
      <c r="AF319" s="18"/>
      <c r="AG319" s="18"/>
      <c r="AH319" s="18"/>
      <c r="AI319" s="18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</row>
    <row r="320" spans="1:51">
      <c r="A320" s="8"/>
      <c r="B320" s="8"/>
      <c r="C320" s="257" t="s">
        <v>229</v>
      </c>
      <c r="D320" s="258"/>
      <c r="E320" s="276">
        <f>K283</f>
        <v>1.5</v>
      </c>
      <c r="F320" s="201"/>
      <c r="G320" s="276">
        <f>K283</f>
        <v>1.5</v>
      </c>
      <c r="H320" s="201"/>
      <c r="I320" s="276">
        <f>L283</f>
        <v>1.75</v>
      </c>
      <c r="J320" s="201"/>
      <c r="K320" s="276">
        <f>M283</f>
        <v>0</v>
      </c>
      <c r="L320" s="201"/>
      <c r="M320" s="276">
        <f>N283</f>
        <v>1.75</v>
      </c>
      <c r="N320" s="201"/>
      <c r="O320" s="276">
        <f>O283</f>
        <v>0.5</v>
      </c>
      <c r="P320" s="201"/>
      <c r="Q320" s="250">
        <f>SUM(E321:P321)</f>
        <v>10425.447680115836</v>
      </c>
      <c r="R320" s="251"/>
      <c r="S320" s="252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18"/>
      <c r="AF320" s="18"/>
      <c r="AG320" s="18"/>
      <c r="AH320" s="18"/>
      <c r="AI320" s="18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</row>
    <row r="321" spans="1:51">
      <c r="A321" s="8"/>
      <c r="B321" s="8"/>
      <c r="C321" s="259" t="s">
        <v>202</v>
      </c>
      <c r="D321" s="260"/>
      <c r="E321" s="276">
        <f>E320*E319</f>
        <v>4345.4528835416249</v>
      </c>
      <c r="F321" s="201"/>
      <c r="G321" s="276">
        <f t="shared" ref="G321" si="119">G320*G319</f>
        <v>1072.0689679790194</v>
      </c>
      <c r="H321" s="201"/>
      <c r="I321" s="276">
        <f t="shared" ref="I321" si="120">I320*I319</f>
        <v>2107.9258285951923</v>
      </c>
      <c r="J321" s="201"/>
      <c r="K321" s="276">
        <f t="shared" ref="K321" si="121">K320*K319</f>
        <v>0</v>
      </c>
      <c r="L321" s="201"/>
      <c r="M321" s="276">
        <f t="shared" ref="M321" si="122">M320*M319</f>
        <v>2450</v>
      </c>
      <c r="N321" s="201"/>
      <c r="O321" s="276">
        <f t="shared" ref="O321" si="123">O320*O319</f>
        <v>450</v>
      </c>
      <c r="P321" s="201"/>
      <c r="Q321" s="253"/>
      <c r="R321" s="254"/>
      <c r="S321" s="255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18"/>
      <c r="AF321" s="18"/>
      <c r="AG321" s="18"/>
      <c r="AH321" s="18"/>
      <c r="AI321" s="18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</row>
    <row r="322" spans="1:51">
      <c r="A322" s="8"/>
      <c r="B322" s="8"/>
      <c r="C322" s="257" t="s">
        <v>229</v>
      </c>
      <c r="D322" s="258"/>
      <c r="E322" s="276">
        <f t="shared" ref="E322" si="124">K284</f>
        <v>1.5</v>
      </c>
      <c r="F322" s="201"/>
      <c r="G322" s="276">
        <f t="shared" ref="G322" si="125">K284</f>
        <v>1.5</v>
      </c>
      <c r="H322" s="201"/>
      <c r="I322" s="276">
        <f t="shared" ref="I322" si="126">L284</f>
        <v>1.75</v>
      </c>
      <c r="J322" s="201"/>
      <c r="K322" s="276">
        <f t="shared" ref="K322" si="127">M284</f>
        <v>0</v>
      </c>
      <c r="L322" s="201"/>
      <c r="M322" s="276">
        <f t="shared" ref="M322" si="128">N284</f>
        <v>1.75</v>
      </c>
      <c r="N322" s="201"/>
      <c r="O322" s="276">
        <f t="shared" ref="O322" si="129">O284</f>
        <v>0.5</v>
      </c>
      <c r="P322" s="201"/>
      <c r="Q322" s="250">
        <f>SUM(E323:P323)</f>
        <v>10425.447680115836</v>
      </c>
      <c r="R322" s="251"/>
      <c r="S322" s="252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18"/>
      <c r="AF322" s="18"/>
      <c r="AG322" s="18"/>
      <c r="AH322" s="18"/>
      <c r="AI322" s="18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</row>
    <row r="323" spans="1:51">
      <c r="A323" s="8"/>
      <c r="B323" s="8"/>
      <c r="C323" s="259" t="s">
        <v>203</v>
      </c>
      <c r="D323" s="260"/>
      <c r="E323" s="276">
        <f>E322*E319</f>
        <v>4345.4528835416249</v>
      </c>
      <c r="F323" s="201"/>
      <c r="G323" s="276">
        <f t="shared" ref="G323" si="130">G322*G319</f>
        <v>1072.0689679790194</v>
      </c>
      <c r="H323" s="201"/>
      <c r="I323" s="276">
        <f t="shared" ref="I323" si="131">I322*I319</f>
        <v>2107.9258285951923</v>
      </c>
      <c r="J323" s="201"/>
      <c r="K323" s="276">
        <f t="shared" ref="K323" si="132">K322*K319</f>
        <v>0</v>
      </c>
      <c r="L323" s="201"/>
      <c r="M323" s="276">
        <f t="shared" ref="M323" si="133">M322*M319</f>
        <v>2450</v>
      </c>
      <c r="N323" s="201"/>
      <c r="O323" s="276">
        <f t="shared" ref="O323" si="134">O322*O319</f>
        <v>450</v>
      </c>
      <c r="P323" s="201"/>
      <c r="Q323" s="253"/>
      <c r="R323" s="254"/>
      <c r="S323" s="255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18"/>
      <c r="AF323" s="18"/>
      <c r="AG323" s="18"/>
      <c r="AH323" s="18"/>
      <c r="AI323" s="18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</row>
    <row r="324" spans="1:51">
      <c r="A324" s="8"/>
      <c r="B324" s="8"/>
      <c r="C324" s="257" t="s">
        <v>229</v>
      </c>
      <c r="D324" s="258"/>
      <c r="E324" s="276">
        <f>K285</f>
        <v>1.5</v>
      </c>
      <c r="F324" s="201"/>
      <c r="G324" s="276">
        <f>K285</f>
        <v>1.5</v>
      </c>
      <c r="H324" s="201"/>
      <c r="I324" s="276">
        <f>L285</f>
        <v>0</v>
      </c>
      <c r="J324" s="201"/>
      <c r="K324" s="276">
        <f>M285</f>
        <v>1.4</v>
      </c>
      <c r="L324" s="201"/>
      <c r="M324" s="276">
        <f>N285</f>
        <v>0</v>
      </c>
      <c r="N324" s="201"/>
      <c r="O324" s="276">
        <f>O285</f>
        <v>0.5</v>
      </c>
      <c r="P324" s="201"/>
      <c r="Q324" s="250">
        <f>SUM(E325:P325)</f>
        <v>6077.5218515206443</v>
      </c>
      <c r="R324" s="251"/>
      <c r="S324" s="252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18"/>
      <c r="AF324" s="18"/>
      <c r="AG324" s="18"/>
      <c r="AH324" s="18"/>
      <c r="AI324" s="18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</row>
    <row r="325" spans="1:51">
      <c r="A325" s="8"/>
      <c r="B325" s="8"/>
      <c r="C325" s="259" t="s">
        <v>204</v>
      </c>
      <c r="D325" s="260"/>
      <c r="E325" s="276">
        <f>E324*E319</f>
        <v>4345.4528835416249</v>
      </c>
      <c r="F325" s="201"/>
      <c r="G325" s="276">
        <f t="shared" ref="G325" si="135">G324*G319</f>
        <v>1072.0689679790194</v>
      </c>
      <c r="H325" s="201"/>
      <c r="I325" s="276">
        <f t="shared" ref="I325" si="136">I324*I319</f>
        <v>0</v>
      </c>
      <c r="J325" s="201"/>
      <c r="K325" s="276">
        <f t="shared" ref="K325" si="137">K324*K319</f>
        <v>210</v>
      </c>
      <c r="L325" s="201"/>
      <c r="M325" s="276">
        <f t="shared" ref="M325" si="138">M324*M319</f>
        <v>0</v>
      </c>
      <c r="N325" s="201"/>
      <c r="O325" s="276">
        <f t="shared" ref="O325" si="139">O324*O319</f>
        <v>450</v>
      </c>
      <c r="P325" s="201"/>
      <c r="Q325" s="253"/>
      <c r="R325" s="254"/>
      <c r="S325" s="255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18"/>
      <c r="AF325" s="18"/>
      <c r="AG325" s="18"/>
      <c r="AH325" s="18"/>
      <c r="AI325" s="18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</row>
    <row r="326" spans="1:51">
      <c r="A326" s="8"/>
      <c r="B326" s="8"/>
      <c r="C326" s="257" t="s">
        <v>229</v>
      </c>
      <c r="D326" s="258"/>
      <c r="E326" s="276">
        <f>K286</f>
        <v>1.5</v>
      </c>
      <c r="F326" s="201"/>
      <c r="G326" s="276">
        <f>K286</f>
        <v>1.5</v>
      </c>
      <c r="H326" s="201"/>
      <c r="I326" s="276">
        <f>L286</f>
        <v>0</v>
      </c>
      <c r="J326" s="201"/>
      <c r="K326" s="276">
        <f>M286</f>
        <v>1.4</v>
      </c>
      <c r="L326" s="201"/>
      <c r="M326" s="276">
        <f>N286</f>
        <v>0</v>
      </c>
      <c r="N326" s="201"/>
      <c r="O326" s="276">
        <f>O286</f>
        <v>0.5</v>
      </c>
      <c r="P326" s="201"/>
      <c r="Q326" s="250">
        <f>SUM(E327:P327)</f>
        <v>6077.5218515206443</v>
      </c>
      <c r="R326" s="251"/>
      <c r="S326" s="252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18"/>
      <c r="AF326" s="18"/>
      <c r="AG326" s="18"/>
      <c r="AH326" s="18"/>
      <c r="AI326" s="18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</row>
    <row r="327" spans="1:51">
      <c r="A327" s="8"/>
      <c r="B327" s="8"/>
      <c r="C327" s="259" t="s">
        <v>205</v>
      </c>
      <c r="D327" s="260"/>
      <c r="E327" s="276">
        <f>E326*E319</f>
        <v>4345.4528835416249</v>
      </c>
      <c r="F327" s="201"/>
      <c r="G327" s="276">
        <f t="shared" ref="G327" si="140">G326*G319</f>
        <v>1072.0689679790194</v>
      </c>
      <c r="H327" s="201"/>
      <c r="I327" s="276">
        <f t="shared" ref="I327" si="141">I326*I319</f>
        <v>0</v>
      </c>
      <c r="J327" s="201"/>
      <c r="K327" s="276">
        <f t="shared" ref="K327" si="142">K326*K319</f>
        <v>210</v>
      </c>
      <c r="L327" s="201"/>
      <c r="M327" s="276">
        <f t="shared" ref="M327" si="143">M326*M319</f>
        <v>0</v>
      </c>
      <c r="N327" s="201"/>
      <c r="O327" s="276">
        <f t="shared" ref="O327" si="144">O326*O319</f>
        <v>450</v>
      </c>
      <c r="P327" s="201"/>
      <c r="Q327" s="253"/>
      <c r="R327" s="254"/>
      <c r="S327" s="255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18"/>
      <c r="AF327" s="18"/>
      <c r="AG327" s="18"/>
      <c r="AH327" s="18"/>
      <c r="AI327" s="18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</row>
    <row r="328" spans="1:5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18"/>
      <c r="AF328" s="18"/>
      <c r="AG328" s="18"/>
      <c r="AH328" s="18"/>
      <c r="AI328" s="18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</row>
    <row r="329" spans="1:51" ht="15">
      <c r="A329" s="8"/>
      <c r="B329" s="8"/>
      <c r="C329" s="275" t="s">
        <v>238</v>
      </c>
      <c r="D329" s="275"/>
      <c r="E329" s="275"/>
      <c r="F329" s="275"/>
      <c r="G329" s="275"/>
      <c r="H329" s="275"/>
      <c r="I329" s="275"/>
      <c r="J329" s="275"/>
      <c r="K329" s="275"/>
      <c r="L329" s="275"/>
      <c r="M329" s="275"/>
      <c r="N329" s="275"/>
      <c r="O329" s="275"/>
      <c r="P329" s="275"/>
      <c r="Q329" s="275"/>
      <c r="R329" s="275"/>
      <c r="S329" s="275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18"/>
      <c r="AF329" s="18"/>
      <c r="AG329" s="18"/>
      <c r="AH329" s="18"/>
      <c r="AI329" s="18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</row>
    <row r="330" spans="1:51">
      <c r="A330" s="8"/>
      <c r="B330" s="8"/>
      <c r="C330" s="266" t="s">
        <v>165</v>
      </c>
      <c r="D330" s="267"/>
      <c r="E330" s="266" t="s">
        <v>170</v>
      </c>
      <c r="F330" s="274"/>
      <c r="G330" s="274"/>
      <c r="H330" s="267"/>
      <c r="I330" s="266" t="s">
        <v>172</v>
      </c>
      <c r="J330" s="267"/>
      <c r="K330" s="266" t="s">
        <v>35</v>
      </c>
      <c r="L330" s="267"/>
      <c r="M330" s="266" t="s">
        <v>37</v>
      </c>
      <c r="N330" s="267"/>
      <c r="O330" s="266" t="s">
        <v>36</v>
      </c>
      <c r="P330" s="274"/>
      <c r="Q330" s="268" t="s">
        <v>227</v>
      </c>
      <c r="R330" s="269"/>
      <c r="S330" s="270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18"/>
      <c r="AF330" s="18"/>
      <c r="AG330" s="18"/>
      <c r="AH330" s="18"/>
      <c r="AI330" s="18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</row>
    <row r="331" spans="1:51" ht="15">
      <c r="A331" s="8"/>
      <c r="B331" s="8"/>
      <c r="C331" s="266" t="s">
        <v>164</v>
      </c>
      <c r="D331" s="267"/>
      <c r="E331" s="266" t="s">
        <v>235</v>
      </c>
      <c r="F331" s="267"/>
      <c r="G331" s="266" t="s">
        <v>236</v>
      </c>
      <c r="H331" s="267"/>
      <c r="I331" s="266" t="s">
        <v>237</v>
      </c>
      <c r="J331" s="267"/>
      <c r="K331" s="266" t="s">
        <v>35</v>
      </c>
      <c r="L331" s="267"/>
      <c r="M331" s="266" t="s">
        <v>37</v>
      </c>
      <c r="N331" s="267"/>
      <c r="O331" s="266" t="s">
        <v>36</v>
      </c>
      <c r="P331" s="267"/>
      <c r="Q331" s="271"/>
      <c r="R331" s="272"/>
      <c r="S331" s="273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18"/>
      <c r="AF331" s="18"/>
      <c r="AG331" s="18"/>
      <c r="AH331" s="18"/>
      <c r="AI331" s="18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</row>
    <row r="332" spans="1:51" ht="15">
      <c r="A332" s="8"/>
      <c r="B332" s="8"/>
      <c r="C332" s="245" t="s">
        <v>241</v>
      </c>
      <c r="D332" s="245"/>
      <c r="E332" s="264">
        <f>K270</f>
        <v>3669.4935461018167</v>
      </c>
      <c r="F332" s="265"/>
      <c r="G332" s="264">
        <f>K271</f>
        <v>1357.9540261067577</v>
      </c>
      <c r="H332" s="265"/>
      <c r="I332" s="264">
        <f>K272</f>
        <v>2288.6051853319232</v>
      </c>
      <c r="J332" s="265"/>
      <c r="K332" s="264">
        <f>K273</f>
        <v>547.49999999999989</v>
      </c>
      <c r="L332" s="265"/>
      <c r="M332" s="264">
        <f>K274</f>
        <v>8260</v>
      </c>
      <c r="N332" s="265"/>
      <c r="O332" s="264">
        <f>K275</f>
        <v>3284.9999999999995</v>
      </c>
      <c r="P332" s="265"/>
      <c r="Q332" s="266" t="s">
        <v>240</v>
      </c>
      <c r="R332" s="274"/>
      <c r="S332" s="267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18"/>
      <c r="AF332" s="18"/>
      <c r="AG332" s="18"/>
      <c r="AH332" s="18"/>
      <c r="AI332" s="18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</row>
    <row r="333" spans="1:51">
      <c r="A333" s="8"/>
      <c r="B333" s="8"/>
      <c r="C333" s="257" t="s">
        <v>229</v>
      </c>
      <c r="D333" s="258"/>
      <c r="E333" s="276">
        <f>E320</f>
        <v>1.5</v>
      </c>
      <c r="F333" s="201"/>
      <c r="G333" s="276">
        <f t="shared" ref="G333" si="145">G320</f>
        <v>1.5</v>
      </c>
      <c r="H333" s="201"/>
      <c r="I333" s="276">
        <f t="shared" ref="I333" si="146">I320</f>
        <v>1.75</v>
      </c>
      <c r="J333" s="201"/>
      <c r="K333" s="276">
        <f t="shared" ref="K333" si="147">K320</f>
        <v>0</v>
      </c>
      <c r="L333" s="201"/>
      <c r="M333" s="276">
        <f t="shared" ref="M333" si="148">M320</f>
        <v>1.75</v>
      </c>
      <c r="N333" s="201"/>
      <c r="O333" s="276">
        <f t="shared" ref="O333" si="149">O320</f>
        <v>0.5</v>
      </c>
      <c r="P333" s="201"/>
      <c r="Q333" s="250">
        <f>SUM(E334:P334)</f>
        <v>27643.730432643726</v>
      </c>
      <c r="R333" s="251"/>
      <c r="S333" s="252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18"/>
      <c r="AF333" s="18"/>
      <c r="AG333" s="18"/>
      <c r="AH333" s="18"/>
      <c r="AI333" s="18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</row>
    <row r="334" spans="1:51">
      <c r="A334" s="8"/>
      <c r="B334" s="8"/>
      <c r="C334" s="259" t="s">
        <v>202</v>
      </c>
      <c r="D334" s="260"/>
      <c r="E334" s="276">
        <f>E333*E332</f>
        <v>5504.2403191527246</v>
      </c>
      <c r="F334" s="201"/>
      <c r="G334" s="276">
        <f t="shared" ref="G334" si="150">G333*G332</f>
        <v>2036.9310391601366</v>
      </c>
      <c r="H334" s="201"/>
      <c r="I334" s="276">
        <f t="shared" ref="I334" si="151">I333*I332</f>
        <v>4005.0590743308658</v>
      </c>
      <c r="J334" s="201"/>
      <c r="K334" s="276">
        <f t="shared" ref="K334" si="152">K333*K332</f>
        <v>0</v>
      </c>
      <c r="L334" s="201"/>
      <c r="M334" s="276">
        <f t="shared" ref="M334" si="153">M333*M332</f>
        <v>14455</v>
      </c>
      <c r="N334" s="201"/>
      <c r="O334" s="276">
        <f t="shared" ref="O334" si="154">O333*O332</f>
        <v>1642.4999999999998</v>
      </c>
      <c r="P334" s="201"/>
      <c r="Q334" s="253"/>
      <c r="R334" s="254"/>
      <c r="S334" s="255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18"/>
      <c r="AF334" s="18"/>
      <c r="AG334" s="18"/>
      <c r="AH334" s="18"/>
      <c r="AI334" s="18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</row>
    <row r="335" spans="1:51">
      <c r="A335" s="8"/>
      <c r="B335" s="8"/>
      <c r="C335" s="257" t="s">
        <v>229</v>
      </c>
      <c r="D335" s="258"/>
      <c r="E335" s="276">
        <f>E322</f>
        <v>1.5</v>
      </c>
      <c r="F335" s="201"/>
      <c r="G335" s="276">
        <f t="shared" ref="G335" si="155">G322</f>
        <v>1.5</v>
      </c>
      <c r="H335" s="201"/>
      <c r="I335" s="276">
        <f t="shared" ref="I335" si="156">I322</f>
        <v>1.75</v>
      </c>
      <c r="J335" s="201"/>
      <c r="K335" s="276">
        <f t="shared" ref="K335" si="157">K322</f>
        <v>0</v>
      </c>
      <c r="L335" s="201"/>
      <c r="M335" s="276">
        <f t="shared" ref="M335" si="158">M322</f>
        <v>1.75</v>
      </c>
      <c r="N335" s="201"/>
      <c r="O335" s="276">
        <f t="shared" ref="O335" si="159">O322</f>
        <v>0.5</v>
      </c>
      <c r="P335" s="201"/>
      <c r="Q335" s="250">
        <f>SUM(E336:P336)</f>
        <v>27643.730432643726</v>
      </c>
      <c r="R335" s="251"/>
      <c r="S335" s="252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18"/>
      <c r="AF335" s="18"/>
      <c r="AG335" s="18"/>
      <c r="AH335" s="18"/>
      <c r="AI335" s="18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</row>
    <row r="336" spans="1:51">
      <c r="A336" s="8"/>
      <c r="B336" s="8"/>
      <c r="C336" s="259" t="s">
        <v>203</v>
      </c>
      <c r="D336" s="260"/>
      <c r="E336" s="276">
        <f>E335*E332</f>
        <v>5504.2403191527246</v>
      </c>
      <c r="F336" s="201"/>
      <c r="G336" s="276">
        <f t="shared" ref="G336" si="160">G335*G332</f>
        <v>2036.9310391601366</v>
      </c>
      <c r="H336" s="201"/>
      <c r="I336" s="276">
        <f t="shared" ref="I336" si="161">I335*I332</f>
        <v>4005.0590743308658</v>
      </c>
      <c r="J336" s="201"/>
      <c r="K336" s="276">
        <f t="shared" ref="K336" si="162">K335*K332</f>
        <v>0</v>
      </c>
      <c r="L336" s="201"/>
      <c r="M336" s="276">
        <f t="shared" ref="M336" si="163">M335*M332</f>
        <v>14455</v>
      </c>
      <c r="N336" s="201"/>
      <c r="O336" s="276">
        <f t="shared" ref="O336" si="164">O335*O332</f>
        <v>1642.4999999999998</v>
      </c>
      <c r="P336" s="201"/>
      <c r="Q336" s="253"/>
      <c r="R336" s="254"/>
      <c r="S336" s="255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18"/>
      <c r="AF336" s="18"/>
      <c r="AG336" s="18"/>
      <c r="AH336" s="18"/>
      <c r="AI336" s="18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</row>
    <row r="337" spans="1:51">
      <c r="A337" s="8"/>
      <c r="B337" s="8"/>
      <c r="C337" s="257" t="s">
        <v>229</v>
      </c>
      <c r="D337" s="258"/>
      <c r="E337" s="276">
        <f>E324</f>
        <v>1.5</v>
      </c>
      <c r="F337" s="201"/>
      <c r="G337" s="276">
        <f t="shared" ref="G337" si="165">G324</f>
        <v>1.5</v>
      </c>
      <c r="H337" s="201"/>
      <c r="I337" s="276">
        <f t="shared" ref="I337" si="166">I324</f>
        <v>0</v>
      </c>
      <c r="J337" s="201"/>
      <c r="K337" s="276">
        <f t="shared" ref="K337" si="167">K324</f>
        <v>1.4</v>
      </c>
      <c r="L337" s="201"/>
      <c r="M337" s="276">
        <f t="shared" ref="M337" si="168">M324</f>
        <v>0</v>
      </c>
      <c r="N337" s="201"/>
      <c r="O337" s="276">
        <f t="shared" ref="O337" si="169">O324</f>
        <v>0.5</v>
      </c>
      <c r="P337" s="201"/>
      <c r="Q337" s="250">
        <f>SUM(E338:P338)</f>
        <v>9950.1713583128603</v>
      </c>
      <c r="R337" s="251"/>
      <c r="S337" s="252"/>
      <c r="T337" s="8"/>
      <c r="U337" s="8"/>
      <c r="V337" s="8"/>
      <c r="W337" s="112" t="s">
        <v>316</v>
      </c>
      <c r="X337" s="8"/>
      <c r="Y337" s="8"/>
      <c r="Z337" s="8"/>
      <c r="AA337" s="8"/>
      <c r="AB337" s="8"/>
      <c r="AC337" s="8"/>
      <c r="AD337" s="8"/>
      <c r="AE337" s="18"/>
      <c r="AF337" s="18"/>
      <c r="AG337" s="18"/>
      <c r="AH337" s="18"/>
      <c r="AI337" s="18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</row>
    <row r="338" spans="1:51">
      <c r="A338" s="8"/>
      <c r="B338" s="8"/>
      <c r="C338" s="259" t="s">
        <v>204</v>
      </c>
      <c r="D338" s="260"/>
      <c r="E338" s="276">
        <f>E337*E332</f>
        <v>5504.2403191527246</v>
      </c>
      <c r="F338" s="201"/>
      <c r="G338" s="276">
        <f t="shared" ref="G338" si="170">G337*G332</f>
        <v>2036.9310391601366</v>
      </c>
      <c r="H338" s="201"/>
      <c r="I338" s="276">
        <f t="shared" ref="I338" si="171">I337*I332</f>
        <v>0</v>
      </c>
      <c r="J338" s="201"/>
      <c r="K338" s="276">
        <f t="shared" ref="K338" si="172">K337*K332</f>
        <v>766.49999999999977</v>
      </c>
      <c r="L338" s="201"/>
      <c r="M338" s="276">
        <f t="shared" ref="M338" si="173">M337*M332</f>
        <v>0</v>
      </c>
      <c r="N338" s="201"/>
      <c r="O338" s="276">
        <f t="shared" ref="O338" si="174">O337*O332</f>
        <v>1642.4999999999998</v>
      </c>
      <c r="P338" s="201"/>
      <c r="Q338" s="253"/>
      <c r="R338" s="254"/>
      <c r="S338" s="255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18"/>
      <c r="AF338" s="18"/>
      <c r="AG338" s="18"/>
      <c r="AH338" s="18"/>
      <c r="AI338" s="18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</row>
    <row r="339" spans="1:51">
      <c r="A339" s="8"/>
      <c r="B339" s="8"/>
      <c r="C339" s="257" t="s">
        <v>229</v>
      </c>
      <c r="D339" s="258"/>
      <c r="E339" s="276">
        <f>E326</f>
        <v>1.5</v>
      </c>
      <c r="F339" s="201"/>
      <c r="G339" s="276">
        <f t="shared" ref="G339" si="175">G326</f>
        <v>1.5</v>
      </c>
      <c r="H339" s="201"/>
      <c r="I339" s="276">
        <f t="shared" ref="I339" si="176">I326</f>
        <v>0</v>
      </c>
      <c r="J339" s="201"/>
      <c r="K339" s="276">
        <f t="shared" ref="K339" si="177">K326</f>
        <v>1.4</v>
      </c>
      <c r="L339" s="201"/>
      <c r="M339" s="276">
        <f t="shared" ref="M339" si="178">M326</f>
        <v>0</v>
      </c>
      <c r="N339" s="201"/>
      <c r="O339" s="276">
        <f t="shared" ref="O339" si="179">O326</f>
        <v>0.5</v>
      </c>
      <c r="P339" s="201"/>
      <c r="Q339" s="250">
        <f>SUM(E340:P340)</f>
        <v>9950.1713583128603</v>
      </c>
      <c r="R339" s="251"/>
      <c r="S339" s="252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18"/>
      <c r="AF339" s="18"/>
      <c r="AG339" s="18"/>
      <c r="AH339" s="18"/>
      <c r="AI339" s="18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</row>
    <row r="340" spans="1:51">
      <c r="A340" s="8"/>
      <c r="B340" s="8"/>
      <c r="C340" s="259" t="s">
        <v>205</v>
      </c>
      <c r="D340" s="260"/>
      <c r="E340" s="276">
        <f>E339*E332</f>
        <v>5504.2403191527246</v>
      </c>
      <c r="F340" s="201"/>
      <c r="G340" s="276">
        <f t="shared" ref="G340" si="180">G339*G332</f>
        <v>2036.9310391601366</v>
      </c>
      <c r="H340" s="201"/>
      <c r="I340" s="276">
        <f t="shared" ref="I340" si="181">I339*I332</f>
        <v>0</v>
      </c>
      <c r="J340" s="201"/>
      <c r="K340" s="276">
        <f t="shared" ref="K340" si="182">K339*K332</f>
        <v>766.49999999999977</v>
      </c>
      <c r="L340" s="201"/>
      <c r="M340" s="276">
        <f t="shared" ref="M340" si="183">M339*M332</f>
        <v>0</v>
      </c>
      <c r="N340" s="201"/>
      <c r="O340" s="276">
        <f t="shared" ref="O340" si="184">O339*O332</f>
        <v>1642.4999999999998</v>
      </c>
      <c r="P340" s="201"/>
      <c r="Q340" s="253"/>
      <c r="R340" s="254"/>
      <c r="S340" s="255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18"/>
      <c r="AF340" s="18"/>
      <c r="AG340" s="18"/>
      <c r="AH340" s="18"/>
      <c r="AI340" s="18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</row>
    <row r="341" spans="1:5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18"/>
      <c r="AF341" s="18"/>
      <c r="AG341" s="18"/>
      <c r="AH341" s="18"/>
      <c r="AI341" s="18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</row>
    <row r="342" spans="1:51" ht="15.6">
      <c r="A342" s="8"/>
      <c r="B342" s="108" t="s">
        <v>242</v>
      </c>
      <c r="C342" s="127" t="s">
        <v>243</v>
      </c>
      <c r="D342" s="20"/>
      <c r="E342" s="20"/>
      <c r="F342" s="20"/>
      <c r="G342" s="20"/>
      <c r="H342" s="20"/>
      <c r="I342" s="20"/>
      <c r="J342" s="20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18"/>
      <c r="AF342" s="18"/>
      <c r="AG342" s="18"/>
      <c r="AH342" s="18"/>
      <c r="AI342" s="18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</row>
    <row r="343" spans="1:51">
      <c r="A343" s="8"/>
      <c r="B343" s="113"/>
      <c r="C343" s="108" t="s">
        <v>260</v>
      </c>
      <c r="D343" s="19" t="s">
        <v>261</v>
      </c>
      <c r="E343" s="20"/>
      <c r="F343" s="20"/>
      <c r="G343" s="20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18"/>
      <c r="AF343" s="18"/>
      <c r="AG343" s="18"/>
      <c r="AH343" s="18"/>
      <c r="AI343" s="18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</row>
    <row r="344" spans="1:51" ht="15" thickBo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18"/>
      <c r="AF344" s="18"/>
      <c r="AG344" s="18"/>
      <c r="AH344" s="18"/>
      <c r="AI344" s="18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</row>
    <row r="345" spans="1:51">
      <c r="A345" s="8"/>
      <c r="B345" s="8"/>
      <c r="C345" s="8"/>
      <c r="D345" s="24"/>
      <c r="E345" s="24"/>
      <c r="F345" s="24"/>
      <c r="G345" s="8"/>
      <c r="H345" s="8"/>
      <c r="I345" s="8"/>
      <c r="J345" s="8"/>
      <c r="K345" s="8"/>
      <c r="L345" s="8"/>
      <c r="M345" s="8"/>
      <c r="N345" s="8"/>
      <c r="O345" s="24"/>
      <c r="P345" s="24"/>
      <c r="Q345" s="8"/>
      <c r="R345" s="8"/>
      <c r="S345" s="8"/>
      <c r="T345" s="8"/>
      <c r="U345" s="8"/>
      <c r="V345" s="8"/>
      <c r="W345" s="114" t="s">
        <v>253</v>
      </c>
      <c r="X345" s="115"/>
      <c r="Y345" s="115"/>
      <c r="Z345" s="115"/>
      <c r="AA345" s="115"/>
      <c r="AB345" s="115"/>
      <c r="AC345" s="62"/>
      <c r="AD345" s="62"/>
      <c r="AE345" s="116"/>
      <c r="AF345" s="18"/>
      <c r="AG345" s="18"/>
      <c r="AH345" s="18"/>
      <c r="AI345" s="18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</row>
    <row r="346" spans="1:51">
      <c r="A346" s="8"/>
      <c r="B346" s="26"/>
      <c r="C346" s="8"/>
      <c r="D346" s="117"/>
      <c r="E346" s="117"/>
      <c r="F346" s="42"/>
      <c r="G346" s="42"/>
      <c r="H346" s="8"/>
      <c r="I346" s="8"/>
      <c r="J346" s="8"/>
      <c r="K346" s="8"/>
      <c r="L346" s="8"/>
      <c r="M346" s="8"/>
      <c r="N346" s="8"/>
      <c r="O346" s="117"/>
      <c r="P346" s="42"/>
      <c r="Q346" s="42"/>
      <c r="R346" s="8"/>
      <c r="S346" s="8"/>
      <c r="T346" s="8"/>
      <c r="U346" s="8"/>
      <c r="V346" s="8"/>
      <c r="W346" s="118" t="s">
        <v>245</v>
      </c>
      <c r="X346" s="119" t="s">
        <v>250</v>
      </c>
      <c r="Y346" s="120" t="s">
        <v>251</v>
      </c>
      <c r="Z346" s="120"/>
      <c r="AA346" s="120" t="s">
        <v>283</v>
      </c>
      <c r="AB346" s="120"/>
      <c r="AC346" s="65"/>
      <c r="AD346" s="65"/>
      <c r="AE346" s="121"/>
      <c r="AF346" s="18"/>
      <c r="AG346" s="18"/>
      <c r="AH346" s="18"/>
      <c r="AI346" s="18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</row>
    <row r="347" spans="1:51" ht="15" thickBot="1">
      <c r="A347" s="24"/>
      <c r="B347" s="24"/>
      <c r="C347" s="8"/>
      <c r="D347" s="117"/>
      <c r="E347" s="117"/>
      <c r="F347" s="8"/>
      <c r="G347" s="8"/>
      <c r="H347" s="8"/>
      <c r="I347" s="8"/>
      <c r="J347" s="8"/>
      <c r="K347" s="43"/>
      <c r="L347" s="43"/>
      <c r="M347" s="8"/>
      <c r="N347" s="8"/>
      <c r="O347" s="117"/>
      <c r="P347" s="8"/>
      <c r="Q347" s="8"/>
      <c r="R347" s="8"/>
      <c r="S347" s="8"/>
      <c r="T347" s="8"/>
      <c r="U347" s="43"/>
      <c r="V347" s="43"/>
      <c r="W347" s="122" t="s">
        <v>245</v>
      </c>
      <c r="X347" s="123" t="s">
        <v>250</v>
      </c>
      <c r="Y347" s="124" t="s">
        <v>252</v>
      </c>
      <c r="Z347" s="68"/>
      <c r="AA347" s="124" t="s">
        <v>254</v>
      </c>
      <c r="AB347" s="68"/>
      <c r="AC347" s="68"/>
      <c r="AD347" s="68"/>
      <c r="AE347" s="125"/>
      <c r="AF347" s="18"/>
      <c r="AG347" s="18"/>
      <c r="AH347" s="18"/>
      <c r="AI347" s="18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</row>
    <row r="348" spans="1:51">
      <c r="A348" s="8"/>
      <c r="B348" s="8"/>
      <c r="C348" s="8"/>
      <c r="D348" s="8"/>
      <c r="E348" s="8"/>
      <c r="F348" s="42"/>
      <c r="G348" s="42"/>
      <c r="H348" s="8"/>
      <c r="I348" s="28"/>
      <c r="J348" s="38"/>
      <c r="K348" s="8"/>
      <c r="L348" s="8"/>
      <c r="M348" s="8"/>
      <c r="N348" s="8"/>
      <c r="O348" s="8"/>
      <c r="P348" s="42"/>
      <c r="Q348" s="42"/>
      <c r="R348" s="8"/>
      <c r="S348" s="28"/>
      <c r="T348" s="38"/>
      <c r="U348" s="8"/>
      <c r="V348" s="8"/>
      <c r="W348" s="8"/>
      <c r="X348" s="120"/>
      <c r="Y348" s="120"/>
      <c r="Z348" s="120"/>
      <c r="AA348" s="120"/>
      <c r="AB348" s="120"/>
      <c r="AC348" s="8"/>
      <c r="AD348" s="8"/>
      <c r="AE348" s="18"/>
      <c r="AF348" s="18"/>
      <c r="AG348" s="18"/>
      <c r="AH348" s="18"/>
      <c r="AI348" s="18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</row>
    <row r="349" spans="1:51">
      <c r="A349" s="8"/>
      <c r="B349" s="8"/>
      <c r="C349" s="8"/>
      <c r="D349" s="8"/>
      <c r="E349" s="8"/>
      <c r="F349" s="8"/>
      <c r="G349" s="126"/>
      <c r="H349" s="126"/>
      <c r="I349" s="8"/>
      <c r="J349" s="8"/>
      <c r="K349" s="8"/>
      <c r="L349" s="8"/>
      <c r="M349" s="8"/>
      <c r="N349" s="8"/>
      <c r="O349" s="8"/>
      <c r="P349" s="8"/>
      <c r="Q349" s="126"/>
      <c r="R349" s="126"/>
      <c r="S349" s="8"/>
      <c r="T349" s="8"/>
      <c r="U349" s="8"/>
      <c r="V349" s="8"/>
      <c r="W349" s="8"/>
      <c r="X349" s="8"/>
      <c r="Y349" s="8"/>
      <c r="Z349" s="8"/>
      <c r="AA349" s="120"/>
      <c r="AB349" s="119"/>
      <c r="AC349" s="8"/>
      <c r="AD349" s="8"/>
      <c r="AE349" s="18"/>
      <c r="AF349" s="18"/>
      <c r="AG349" s="18"/>
      <c r="AH349" s="18"/>
      <c r="AI349" s="18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</row>
    <row r="350" spans="1:5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18"/>
      <c r="AF350" s="18"/>
      <c r="AG350" s="18"/>
      <c r="AH350" s="18"/>
      <c r="AI350" s="18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</row>
    <row r="351" spans="1:51">
      <c r="A351" s="29"/>
      <c r="B351" s="42"/>
      <c r="C351" s="42"/>
      <c r="D351" s="42"/>
      <c r="E351" s="8"/>
      <c r="F351" s="8"/>
      <c r="G351" s="8"/>
      <c r="H351" s="8"/>
      <c r="I351" s="8"/>
      <c r="J351" s="8"/>
      <c r="K351" s="8"/>
      <c r="L351" s="24"/>
      <c r="M351" s="8"/>
      <c r="N351" s="8"/>
      <c r="O351" s="8"/>
      <c r="P351" s="8"/>
      <c r="Q351" s="8"/>
      <c r="R351" s="8"/>
      <c r="S351" s="8"/>
      <c r="T351" s="8"/>
      <c r="U351" s="8"/>
      <c r="V351" s="24"/>
      <c r="W351" s="8"/>
      <c r="X351" s="8"/>
      <c r="Y351" s="8"/>
      <c r="Z351" s="8"/>
      <c r="AA351" s="8"/>
      <c r="AB351" s="8"/>
      <c r="AC351" s="8"/>
      <c r="AD351" s="8"/>
      <c r="AE351" s="18"/>
      <c r="AF351" s="18"/>
      <c r="AG351" s="18"/>
      <c r="AH351" s="18"/>
      <c r="AI351" s="18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</row>
    <row r="352" spans="1:51">
      <c r="A352" s="24"/>
      <c r="B352" s="24"/>
      <c r="C352" s="42"/>
      <c r="D352" s="42"/>
      <c r="E352" s="8"/>
      <c r="F352" s="8"/>
      <c r="G352" s="8"/>
      <c r="H352" s="8"/>
      <c r="I352" s="8"/>
      <c r="J352" s="27"/>
      <c r="K352" s="8"/>
      <c r="L352" s="8"/>
      <c r="M352" s="8"/>
      <c r="N352" s="8"/>
      <c r="O352" s="8"/>
      <c r="P352" s="160" t="s">
        <v>248</v>
      </c>
      <c r="Q352" s="160"/>
      <c r="R352" s="26" t="s">
        <v>246</v>
      </c>
      <c r="S352" s="8" t="s">
        <v>247</v>
      </c>
      <c r="T352" s="27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18"/>
      <c r="AF352" s="18"/>
      <c r="AG352" s="18"/>
      <c r="AH352" s="18"/>
      <c r="AI352" s="18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</row>
    <row r="353" spans="1:51">
      <c r="A353" s="8"/>
      <c r="B353" s="8"/>
      <c r="C353" s="8"/>
      <c r="D353" s="8"/>
      <c r="E353" s="8"/>
      <c r="F353" s="38"/>
      <c r="G353" s="37"/>
      <c r="H353" s="27"/>
      <c r="I353" s="27"/>
      <c r="J353" s="27"/>
      <c r="K353" s="43"/>
      <c r="L353" s="8"/>
      <c r="M353" s="8"/>
      <c r="N353" s="8"/>
      <c r="O353" s="8"/>
      <c r="P353" s="38"/>
      <c r="Q353" s="37"/>
      <c r="R353" s="27"/>
      <c r="S353" s="27"/>
      <c r="T353" s="27"/>
      <c r="U353" s="43"/>
      <c r="V353" s="8"/>
      <c r="W353" s="8"/>
      <c r="X353" s="8"/>
      <c r="Y353" s="8"/>
      <c r="Z353" s="8"/>
      <c r="AA353" s="8"/>
      <c r="AB353" s="8"/>
      <c r="AC353" s="8"/>
      <c r="AD353" s="8"/>
      <c r="AE353" s="18"/>
      <c r="AF353" s="18"/>
      <c r="AG353" s="18"/>
      <c r="AH353" s="18"/>
      <c r="AI353" s="18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</row>
    <row r="354" spans="1:51">
      <c r="A354" s="8"/>
      <c r="B354" s="8"/>
      <c r="C354" s="8"/>
      <c r="D354" s="8"/>
      <c r="E354" s="8"/>
      <c r="F354" s="8"/>
      <c r="G354" s="8"/>
      <c r="H354" s="27"/>
      <c r="I354" s="43"/>
      <c r="J354" s="44"/>
      <c r="K354" s="44"/>
      <c r="L354" s="8"/>
      <c r="M354" s="8"/>
      <c r="N354" s="8"/>
      <c r="O354" s="8"/>
      <c r="P354" s="8"/>
      <c r="Q354" s="8"/>
      <c r="R354" s="27"/>
      <c r="S354" s="43"/>
      <c r="T354" s="44"/>
      <c r="U354" s="44"/>
      <c r="V354" s="8"/>
      <c r="W354" s="8"/>
      <c r="X354" s="8"/>
      <c r="Y354" s="8"/>
      <c r="Z354" s="8"/>
      <c r="AA354" s="8"/>
      <c r="AB354" s="8"/>
      <c r="AC354" s="8"/>
      <c r="AD354" s="8"/>
      <c r="AE354" s="18"/>
      <c r="AF354" s="18"/>
      <c r="AG354" s="18"/>
      <c r="AH354" s="18"/>
      <c r="AI354" s="18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</row>
    <row r="355" spans="1:51">
      <c r="A355" s="8"/>
      <c r="B355" s="8"/>
      <c r="C355" s="37" t="s">
        <v>256</v>
      </c>
      <c r="D355" s="42"/>
      <c r="E355" s="8"/>
      <c r="F355" s="8"/>
      <c r="G355" s="8"/>
      <c r="H355" s="37" t="s">
        <v>255</v>
      </c>
      <c r="I355" s="8"/>
      <c r="J355" s="8"/>
      <c r="K355" s="38"/>
      <c r="L355" s="8"/>
      <c r="M355" s="8"/>
      <c r="N355" s="24"/>
      <c r="O355" s="8"/>
      <c r="P355" s="8"/>
      <c r="Q355" s="8"/>
      <c r="R355" s="8"/>
      <c r="S355" s="8"/>
      <c r="T355" s="8"/>
      <c r="U355" s="38"/>
      <c r="V355" s="8"/>
      <c r="W355" s="8"/>
      <c r="X355" s="8"/>
      <c r="Y355" s="8"/>
      <c r="Z355" s="8"/>
      <c r="AA355" s="8"/>
      <c r="AB355" s="8"/>
      <c r="AC355" s="8"/>
      <c r="AD355" s="8"/>
      <c r="AE355" s="18"/>
      <c r="AF355" s="18"/>
      <c r="AG355" s="18"/>
      <c r="AH355" s="18"/>
      <c r="AI355" s="18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</row>
    <row r="356" spans="1:51">
      <c r="A356" s="8"/>
      <c r="B356" s="8"/>
      <c r="C356" s="42"/>
      <c r="D356" s="42"/>
      <c r="E356" s="37" t="s">
        <v>228</v>
      </c>
      <c r="F356" s="8"/>
      <c r="G356" s="8"/>
      <c r="H356" s="8"/>
      <c r="I356" s="46"/>
      <c r="J356" s="46"/>
      <c r="K356" s="8"/>
      <c r="L356" s="8"/>
      <c r="M356" s="8"/>
      <c r="N356" s="8"/>
      <c r="O356" s="8"/>
      <c r="P356" s="8"/>
      <c r="Q356" s="26" t="s">
        <v>228</v>
      </c>
      <c r="R356" s="8"/>
      <c r="S356" s="46"/>
      <c r="T356" s="46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18"/>
      <c r="AF356" s="18"/>
      <c r="AG356" s="18"/>
      <c r="AH356" s="18"/>
      <c r="AI356" s="18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</row>
    <row r="357" spans="1:51">
      <c r="A357" s="8"/>
      <c r="B357" s="8"/>
      <c r="C357" s="42"/>
      <c r="D357" s="42"/>
      <c r="E357" s="8"/>
      <c r="F357" s="43"/>
      <c r="G357" s="8"/>
      <c r="H357" s="8"/>
      <c r="I357" s="8"/>
      <c r="J357" s="8"/>
      <c r="K357" s="8"/>
      <c r="L357" s="8"/>
      <c r="M357" s="8"/>
      <c r="N357" s="8"/>
      <c r="O357" s="8"/>
      <c r="P357" s="43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18"/>
      <c r="AF357" s="18"/>
      <c r="AG357" s="18"/>
      <c r="AH357" s="18"/>
      <c r="AI357" s="18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</row>
    <row r="358" spans="1:5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18"/>
      <c r="AF358" s="18"/>
      <c r="AG358" s="18"/>
      <c r="AH358" s="18"/>
      <c r="AI358" s="18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</row>
    <row r="359" spans="1:51">
      <c r="A359" s="8"/>
      <c r="B359" s="8"/>
      <c r="C359" s="8"/>
      <c r="D359" s="8"/>
      <c r="E359" s="8"/>
      <c r="F359" s="8"/>
      <c r="G359" s="35" t="s">
        <v>244</v>
      </c>
      <c r="H359" s="163">
        <f>F119</f>
        <v>2.5</v>
      </c>
      <c r="I359" s="163"/>
      <c r="J359" s="42"/>
      <c r="K359" s="42"/>
      <c r="L359" s="8"/>
      <c r="M359" s="8"/>
      <c r="N359" s="8"/>
      <c r="O359" s="8"/>
      <c r="P359" s="163" t="str">
        <f>"B/2 = "&amp;H359/2</f>
        <v>B/2 = 1.25</v>
      </c>
      <c r="Q359" s="163"/>
      <c r="R359" s="163"/>
      <c r="S359" s="163" t="str">
        <f>"B/2 = "&amp;H359/2</f>
        <v>B/2 = 1.25</v>
      </c>
      <c r="T359" s="163"/>
      <c r="U359" s="163"/>
      <c r="V359" s="8"/>
      <c r="W359" s="8"/>
      <c r="X359" s="8"/>
      <c r="Y359" s="8"/>
      <c r="Z359" s="8"/>
      <c r="AA359" s="8"/>
      <c r="AB359" s="8"/>
      <c r="AC359" s="8"/>
      <c r="AD359" s="8"/>
      <c r="AE359" s="18"/>
      <c r="AF359" s="18"/>
      <c r="AG359" s="18"/>
      <c r="AH359" s="18"/>
      <c r="AI359" s="18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</row>
    <row r="360" spans="1:5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18"/>
      <c r="AF360" s="18"/>
      <c r="AG360" s="18"/>
      <c r="AH360" s="18"/>
      <c r="AI360" s="18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</row>
    <row r="361" spans="1:51" ht="15">
      <c r="A361" s="8"/>
      <c r="B361" s="8"/>
      <c r="C361" s="179" t="s">
        <v>257</v>
      </c>
      <c r="D361" s="179"/>
      <c r="E361" s="179"/>
      <c r="F361" s="282" t="s">
        <v>277</v>
      </c>
      <c r="G361" s="282"/>
      <c r="H361" s="284" t="s">
        <v>286</v>
      </c>
      <c r="I361" s="285"/>
      <c r="J361" s="284" t="s">
        <v>287</v>
      </c>
      <c r="K361" s="285"/>
      <c r="L361" s="179"/>
      <c r="M361" s="179"/>
      <c r="N361" s="179"/>
      <c r="O361" s="179"/>
      <c r="P361" s="179"/>
      <c r="Q361" s="179"/>
      <c r="R361" s="179"/>
      <c r="S361" s="179"/>
      <c r="T361" s="179"/>
      <c r="U361" s="8"/>
      <c r="V361" s="8"/>
      <c r="W361" s="8"/>
      <c r="X361" s="8"/>
      <c r="Y361" s="8"/>
      <c r="Z361" s="8"/>
      <c r="AA361" s="8"/>
      <c r="AB361" s="8"/>
      <c r="AC361" s="54"/>
      <c r="AD361" s="54"/>
      <c r="AE361" s="18"/>
      <c r="AF361" s="18"/>
      <c r="AG361" s="18"/>
      <c r="AH361" s="18"/>
      <c r="AI361" s="18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</row>
    <row r="362" spans="1:51">
      <c r="A362" s="8"/>
      <c r="B362" s="8"/>
      <c r="C362" s="179"/>
      <c r="D362" s="179"/>
      <c r="E362" s="179"/>
      <c r="F362" s="283" t="s">
        <v>258</v>
      </c>
      <c r="G362" s="283"/>
      <c r="H362" s="283" t="s">
        <v>259</v>
      </c>
      <c r="I362" s="283"/>
      <c r="J362" s="283" t="s">
        <v>259</v>
      </c>
      <c r="K362" s="283"/>
      <c r="L362" s="179"/>
      <c r="M362" s="179"/>
      <c r="N362" s="179"/>
      <c r="O362" s="179"/>
      <c r="P362" s="179"/>
      <c r="Q362" s="179"/>
      <c r="R362" s="179"/>
      <c r="S362" s="179"/>
      <c r="T362" s="179"/>
      <c r="U362" s="8"/>
      <c r="V362" s="8"/>
      <c r="W362" s="8"/>
      <c r="X362" s="8"/>
      <c r="Y362" s="8"/>
      <c r="Z362" s="8"/>
      <c r="AA362" s="8"/>
      <c r="AB362" s="8"/>
      <c r="AC362" s="54"/>
      <c r="AD362" s="54"/>
      <c r="AE362" s="18"/>
      <c r="AF362" s="18"/>
      <c r="AG362" s="18"/>
      <c r="AH362" s="18"/>
      <c r="AI362" s="18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</row>
    <row r="363" spans="1:51">
      <c r="A363" s="8"/>
      <c r="B363" s="8"/>
      <c r="C363" s="245" t="s">
        <v>202</v>
      </c>
      <c r="D363" s="245"/>
      <c r="E363" s="245"/>
      <c r="F363" s="277">
        <f>Y293</f>
        <v>18808.336131582801</v>
      </c>
      <c r="G363" s="278"/>
      <c r="H363" s="277">
        <f>Y306</f>
        <v>30550.533328957004</v>
      </c>
      <c r="I363" s="278"/>
      <c r="J363" s="277">
        <f>Q333</f>
        <v>27643.730432643726</v>
      </c>
      <c r="K363" s="278"/>
      <c r="L363" s="277">
        <f>(H363-J363)/F363</f>
        <v>0.1545486467265012</v>
      </c>
      <c r="M363" s="281"/>
      <c r="N363" s="281"/>
      <c r="O363" s="279">
        <f>H359/2-L363</f>
        <v>1.0954513532734989</v>
      </c>
      <c r="P363" s="280"/>
      <c r="Q363" s="280"/>
      <c r="R363" s="277">
        <f>H359/3</f>
        <v>0.83333333333333337</v>
      </c>
      <c r="S363" s="281"/>
      <c r="T363" s="281"/>
      <c r="U363" s="7" t="str">
        <f>IF(O363&lt;=R363,"Ok","Error")</f>
        <v>Error</v>
      </c>
      <c r="V363" s="8"/>
      <c r="W363" s="8"/>
      <c r="X363" s="8"/>
      <c r="Y363" s="8"/>
      <c r="Z363" s="8"/>
      <c r="AA363" s="8"/>
      <c r="AB363" s="8"/>
      <c r="AC363" s="8"/>
      <c r="AD363" s="8"/>
      <c r="AE363" s="18"/>
      <c r="AF363" s="18"/>
      <c r="AG363" s="18"/>
      <c r="AH363" s="18"/>
      <c r="AI363" s="18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</row>
    <row r="364" spans="1:51">
      <c r="A364" s="8"/>
      <c r="B364" s="8"/>
      <c r="C364" s="245" t="s">
        <v>203</v>
      </c>
      <c r="D364" s="245"/>
      <c r="E364" s="245"/>
      <c r="F364" s="277">
        <f>Y295</f>
        <v>59369.360176976152</v>
      </c>
      <c r="G364" s="278"/>
      <c r="H364" s="277">
        <f>Y308</f>
        <v>92453.005042440374</v>
      </c>
      <c r="I364" s="278"/>
      <c r="J364" s="277">
        <f>Q335</f>
        <v>27643.730432643726</v>
      </c>
      <c r="K364" s="278"/>
      <c r="L364" s="277">
        <f t="shared" ref="L364:L366" si="185">(H364-J364)/F364</f>
        <v>1.0916283149524344</v>
      </c>
      <c r="M364" s="281"/>
      <c r="N364" s="281"/>
      <c r="O364" s="279">
        <f>H359/2-L364</f>
        <v>0.1583716850475656</v>
      </c>
      <c r="P364" s="280"/>
      <c r="Q364" s="280"/>
      <c r="R364" s="277">
        <f>H359/3</f>
        <v>0.83333333333333337</v>
      </c>
      <c r="S364" s="281"/>
      <c r="T364" s="281"/>
      <c r="U364" s="7" t="str">
        <f t="shared" ref="U364:U366" si="186">IF(O364&lt;=R364,"Ok","Error")</f>
        <v>Ok</v>
      </c>
      <c r="V364" s="8"/>
      <c r="W364" s="8"/>
      <c r="X364" s="8"/>
      <c r="Y364" s="8"/>
      <c r="Z364" s="8"/>
      <c r="AA364" s="8"/>
      <c r="AB364" s="8"/>
      <c r="AC364" s="8"/>
      <c r="AD364" s="8"/>
      <c r="AE364" s="18"/>
      <c r="AF364" s="18"/>
      <c r="AG364" s="18"/>
      <c r="AH364" s="18"/>
      <c r="AI364" s="18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</row>
    <row r="365" spans="1:51">
      <c r="A365" s="8"/>
      <c r="B365" s="8"/>
      <c r="C365" s="245" t="s">
        <v>204</v>
      </c>
      <c r="D365" s="245"/>
      <c r="E365" s="245"/>
      <c r="F365" s="277">
        <f>Y297</f>
        <v>18808.336131582801</v>
      </c>
      <c r="G365" s="278"/>
      <c r="H365" s="277">
        <f>Y310</f>
        <v>30550.533328957004</v>
      </c>
      <c r="I365" s="278"/>
      <c r="J365" s="277">
        <f>Q337</f>
        <v>9950.1713583128603</v>
      </c>
      <c r="K365" s="278"/>
      <c r="L365" s="277">
        <f t="shared" si="185"/>
        <v>1.095278275894495</v>
      </c>
      <c r="M365" s="281"/>
      <c r="N365" s="281"/>
      <c r="O365" s="279">
        <f>H359/2-L365</f>
        <v>0.154721724105505</v>
      </c>
      <c r="P365" s="280"/>
      <c r="Q365" s="280"/>
      <c r="R365" s="277">
        <f>H359/3</f>
        <v>0.83333333333333337</v>
      </c>
      <c r="S365" s="281"/>
      <c r="T365" s="281"/>
      <c r="U365" s="7" t="str">
        <f t="shared" si="186"/>
        <v>Ok</v>
      </c>
      <c r="V365" s="8"/>
      <c r="W365" s="8"/>
      <c r="X365" s="8"/>
      <c r="Y365" s="8"/>
      <c r="Z365" s="8"/>
      <c r="AA365" s="8"/>
      <c r="AB365" s="8"/>
      <c r="AC365" s="8"/>
      <c r="AD365" s="8"/>
      <c r="AE365" s="18"/>
      <c r="AF365" s="18"/>
      <c r="AG365" s="18"/>
      <c r="AH365" s="18"/>
      <c r="AI365" s="18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</row>
    <row r="366" spans="1:51">
      <c r="A366" s="8"/>
      <c r="B366" s="8"/>
      <c r="C366" s="245" t="s">
        <v>205</v>
      </c>
      <c r="D366" s="245"/>
      <c r="E366" s="245"/>
      <c r="F366" s="277">
        <f>Y299</f>
        <v>25088.976131582804</v>
      </c>
      <c r="G366" s="278"/>
      <c r="H366" s="277">
        <f>Y312</f>
        <v>39909.137428957001</v>
      </c>
      <c r="I366" s="278"/>
      <c r="J366" s="277">
        <f>Q339</f>
        <v>9950.1713583128603</v>
      </c>
      <c r="K366" s="278"/>
      <c r="L366" s="277">
        <f t="shared" si="185"/>
        <v>1.1941087557148591</v>
      </c>
      <c r="M366" s="281"/>
      <c r="N366" s="281"/>
      <c r="O366" s="279">
        <f>H359/2-L366</f>
        <v>5.5891244285140917E-2</v>
      </c>
      <c r="P366" s="280"/>
      <c r="Q366" s="280"/>
      <c r="R366" s="277">
        <f>H359/3</f>
        <v>0.83333333333333337</v>
      </c>
      <c r="S366" s="281"/>
      <c r="T366" s="281"/>
      <c r="U366" s="7" t="str">
        <f t="shared" si="186"/>
        <v>Ok</v>
      </c>
      <c r="V366" s="8"/>
      <c r="W366" s="8"/>
      <c r="X366" s="8"/>
      <c r="Y366" s="8"/>
      <c r="Z366" s="8"/>
      <c r="AA366" s="8"/>
      <c r="AB366" s="8"/>
      <c r="AC366" s="8"/>
      <c r="AD366" s="8"/>
      <c r="AE366" s="18"/>
      <c r="AF366" s="18"/>
      <c r="AG366" s="18"/>
      <c r="AH366" s="18"/>
      <c r="AI366" s="18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</row>
    <row r="367" spans="1:5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18"/>
      <c r="AF367" s="18"/>
      <c r="AG367" s="18"/>
      <c r="AH367" s="18"/>
      <c r="AI367" s="18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</row>
    <row r="368" spans="1:51">
      <c r="A368" s="8"/>
      <c r="B368" s="8"/>
      <c r="C368" s="108" t="s">
        <v>262</v>
      </c>
      <c r="D368" s="19" t="s">
        <v>263</v>
      </c>
      <c r="E368" s="20"/>
      <c r="F368" s="20"/>
      <c r="G368" s="20"/>
      <c r="H368" s="20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18"/>
      <c r="AF368" s="18"/>
      <c r="AG368" s="18"/>
      <c r="AH368" s="18"/>
      <c r="AI368" s="18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</row>
    <row r="369" spans="1:51">
      <c r="A369" s="8"/>
      <c r="B369" s="8"/>
      <c r="C369" s="8"/>
      <c r="D369" s="8"/>
      <c r="E369" s="8"/>
      <c r="F369" s="24"/>
      <c r="G369" s="24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18"/>
      <c r="W369" s="8"/>
      <c r="X369" s="8"/>
      <c r="Y369" s="8"/>
      <c r="Z369" s="8"/>
      <c r="AA369" s="8"/>
      <c r="AB369" s="8"/>
      <c r="AC369" s="8"/>
      <c r="AD369" s="8"/>
      <c r="AE369" s="18"/>
      <c r="AF369" s="18"/>
      <c r="AG369" s="18"/>
      <c r="AH369" s="18"/>
      <c r="AI369" s="18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</row>
    <row r="370" spans="1:51">
      <c r="A370" s="8"/>
      <c r="B370" s="8"/>
      <c r="C370" s="8"/>
      <c r="D370" s="8"/>
      <c r="E370" s="8"/>
      <c r="F370" s="117"/>
      <c r="G370" s="42"/>
      <c r="H370" s="42"/>
      <c r="I370" s="8"/>
      <c r="J370" s="8"/>
      <c r="K370" s="8"/>
      <c r="L370" s="8"/>
      <c r="M370" s="8"/>
      <c r="N370" s="8"/>
      <c r="O370" s="8"/>
      <c r="P370" s="8"/>
      <c r="Q370" s="120"/>
      <c r="R370" s="8"/>
      <c r="S370" s="8"/>
      <c r="T370" s="8"/>
      <c r="U370" s="8"/>
      <c r="V370" s="18"/>
      <c r="W370" s="8"/>
      <c r="X370" s="8"/>
      <c r="Y370" s="8"/>
      <c r="Z370" s="8"/>
      <c r="AA370" s="8"/>
      <c r="AB370" s="8"/>
      <c r="AC370" s="8"/>
      <c r="AD370" s="8"/>
      <c r="AE370" s="18"/>
      <c r="AF370" s="18"/>
      <c r="AG370" s="18"/>
      <c r="AH370" s="18"/>
      <c r="AI370" s="18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</row>
    <row r="371" spans="1:51">
      <c r="A371" s="8"/>
      <c r="B371" s="8"/>
      <c r="C371" s="8"/>
      <c r="D371" s="8"/>
      <c r="E371" s="8"/>
      <c r="F371" s="117"/>
      <c r="G371" s="8"/>
      <c r="H371" s="8"/>
      <c r="I371" s="8"/>
      <c r="J371" s="8"/>
      <c r="K371" s="8"/>
      <c r="L371" s="43"/>
      <c r="M371" s="43"/>
      <c r="N371" s="43"/>
      <c r="O371" s="43"/>
      <c r="P371" s="43"/>
      <c r="Q371" s="43"/>
      <c r="R371" s="43"/>
      <c r="S371" s="43"/>
      <c r="T371" s="8"/>
      <c r="U371" s="8"/>
      <c r="V371" s="18"/>
      <c r="W371" s="8"/>
      <c r="X371" s="8"/>
      <c r="Y371" s="8"/>
      <c r="Z371" s="8"/>
      <c r="AA371" s="8"/>
      <c r="AB371" s="8"/>
      <c r="AC371" s="8"/>
      <c r="AD371" s="8"/>
      <c r="AE371" s="18"/>
      <c r="AF371" s="18"/>
      <c r="AG371" s="18"/>
      <c r="AH371" s="18"/>
      <c r="AI371" s="18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</row>
    <row r="372" spans="1:51">
      <c r="A372" s="8"/>
      <c r="B372" s="8"/>
      <c r="C372" s="8"/>
      <c r="D372" s="8"/>
      <c r="E372" s="8"/>
      <c r="F372" s="8"/>
      <c r="G372" s="42"/>
      <c r="H372" s="42"/>
      <c r="I372" s="8"/>
      <c r="J372" s="28"/>
      <c r="K372" s="38"/>
      <c r="L372" s="8"/>
      <c r="M372" s="8"/>
      <c r="N372" s="8"/>
      <c r="O372" s="120"/>
      <c r="P372" s="120"/>
      <c r="Q372" s="120"/>
      <c r="R372" s="8"/>
      <c r="S372" s="8"/>
      <c r="T372" s="8"/>
      <c r="U372" s="8"/>
      <c r="V372" s="18"/>
      <c r="W372" s="8"/>
      <c r="X372" s="8"/>
      <c r="Y372" s="8"/>
      <c r="Z372" s="8"/>
      <c r="AA372" s="8"/>
      <c r="AB372" s="8"/>
      <c r="AC372" s="8"/>
      <c r="AD372" s="8"/>
      <c r="AE372" s="18"/>
      <c r="AF372" s="18"/>
      <c r="AG372" s="18"/>
      <c r="AH372" s="18"/>
      <c r="AI372" s="18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</row>
    <row r="373" spans="1:51">
      <c r="A373" s="8"/>
      <c r="B373" s="8"/>
      <c r="C373" s="8"/>
      <c r="D373" s="8"/>
      <c r="E373" s="8"/>
      <c r="F373" s="8"/>
      <c r="G373" s="8"/>
      <c r="H373" s="126"/>
      <c r="I373" s="126"/>
      <c r="J373" s="8"/>
      <c r="K373" s="8"/>
      <c r="L373" s="8"/>
      <c r="M373" s="8"/>
      <c r="N373" s="119"/>
      <c r="O373" s="8"/>
      <c r="P373" s="8"/>
      <c r="Q373" s="8"/>
      <c r="R373" s="120"/>
      <c r="S373" s="119"/>
      <c r="T373" s="8"/>
      <c r="U373" s="8"/>
      <c r="V373" s="18"/>
      <c r="W373" s="8"/>
      <c r="X373" s="8"/>
      <c r="Y373" s="8"/>
      <c r="Z373" s="8"/>
      <c r="AA373" s="8"/>
      <c r="AB373" s="8"/>
      <c r="AC373" s="8"/>
      <c r="AD373" s="8"/>
      <c r="AE373" s="18"/>
      <c r="AF373" s="18"/>
      <c r="AG373" s="18"/>
      <c r="AH373" s="18"/>
      <c r="AI373" s="18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</row>
    <row r="374" spans="1:5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18"/>
      <c r="W374" s="8"/>
      <c r="X374" s="8"/>
      <c r="Y374" s="8"/>
      <c r="Z374" s="8"/>
      <c r="AA374" s="8"/>
      <c r="AB374" s="8"/>
      <c r="AC374" s="8"/>
      <c r="AD374" s="8"/>
      <c r="AE374" s="18"/>
      <c r="AF374" s="18"/>
      <c r="AG374" s="18"/>
      <c r="AH374" s="18"/>
      <c r="AI374" s="18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</row>
    <row r="375" spans="1:51" ht="1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120" t="s">
        <v>267</v>
      </c>
      <c r="N375" s="8"/>
      <c r="O375" s="8"/>
      <c r="P375" s="8"/>
      <c r="Q375" s="8"/>
      <c r="R375" s="8"/>
      <c r="S375" s="8"/>
      <c r="T375" s="8"/>
      <c r="U375" s="8"/>
      <c r="V375" s="18"/>
      <c r="W375" s="8"/>
      <c r="X375" s="8"/>
      <c r="Y375" s="8"/>
      <c r="Z375" s="8"/>
      <c r="AA375" s="8"/>
      <c r="AB375" s="8"/>
      <c r="AC375" s="8"/>
      <c r="AD375" s="8"/>
      <c r="AE375" s="18"/>
      <c r="AF375" s="18"/>
      <c r="AG375" s="18"/>
      <c r="AH375" s="18"/>
      <c r="AI375" s="18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</row>
    <row r="376" spans="1:51" ht="15" thickBot="1">
      <c r="A376" s="8"/>
      <c r="B376" s="8"/>
      <c r="C376" s="8"/>
      <c r="D376" s="8"/>
      <c r="E376" s="8"/>
      <c r="F376" s="8"/>
      <c r="G376" s="160"/>
      <c r="H376" s="160"/>
      <c r="I376" s="26"/>
      <c r="J376" s="8"/>
      <c r="K376" s="27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18"/>
      <c r="W376" s="8"/>
      <c r="X376" s="8"/>
      <c r="Y376" s="8"/>
      <c r="Z376" s="8"/>
      <c r="AA376" s="8"/>
      <c r="AB376" s="8"/>
      <c r="AC376" s="8"/>
      <c r="AD376" s="8"/>
      <c r="AE376" s="18"/>
      <c r="AF376" s="18"/>
      <c r="AG376" s="18"/>
      <c r="AH376" s="18"/>
      <c r="AI376" s="18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</row>
    <row r="377" spans="1:51">
      <c r="A377" s="8"/>
      <c r="B377" s="8"/>
      <c r="C377" s="8"/>
      <c r="D377" s="8"/>
      <c r="E377" s="8"/>
      <c r="F377" s="8"/>
      <c r="G377" s="38"/>
      <c r="H377" s="37"/>
      <c r="I377" s="27"/>
      <c r="J377" s="27"/>
      <c r="K377" s="27"/>
      <c r="L377" s="43"/>
      <c r="M377" s="114" t="s">
        <v>253</v>
      </c>
      <c r="N377" s="115"/>
      <c r="O377" s="128"/>
      <c r="P377" s="8"/>
      <c r="Q377" s="8"/>
      <c r="R377" s="8"/>
      <c r="S377" s="8"/>
      <c r="T377" s="8"/>
      <c r="U377" s="8"/>
      <c r="V377" s="18"/>
      <c r="W377" s="8"/>
      <c r="X377" s="8"/>
      <c r="Y377" s="8"/>
      <c r="Z377" s="8"/>
      <c r="AA377" s="8"/>
      <c r="AB377" s="8"/>
      <c r="AC377" s="8"/>
      <c r="AD377" s="8"/>
      <c r="AE377" s="18"/>
      <c r="AF377" s="18"/>
      <c r="AG377" s="18"/>
      <c r="AH377" s="18"/>
      <c r="AI377" s="18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</row>
    <row r="378" spans="1:51" ht="15.6" thickBot="1">
      <c r="A378" s="8"/>
      <c r="B378" s="8"/>
      <c r="C378" s="8"/>
      <c r="D378" s="8"/>
      <c r="E378" s="8"/>
      <c r="F378" s="8"/>
      <c r="G378" s="8"/>
      <c r="H378" s="8"/>
      <c r="I378" s="27"/>
      <c r="J378" s="43"/>
      <c r="K378" s="44"/>
      <c r="L378" s="44"/>
      <c r="M378" s="122" t="s">
        <v>266</v>
      </c>
      <c r="N378" s="123" t="s">
        <v>59</v>
      </c>
      <c r="O378" s="129" t="s">
        <v>267</v>
      </c>
      <c r="P378" s="8"/>
      <c r="Q378" s="8"/>
      <c r="R378" s="8"/>
      <c r="S378" s="8"/>
      <c r="T378" s="8"/>
      <c r="U378" s="8"/>
      <c r="V378" s="18"/>
      <c r="W378" s="8"/>
      <c r="X378" s="8"/>
      <c r="Y378" s="8"/>
      <c r="Z378" s="8"/>
      <c r="AA378" s="8"/>
      <c r="AB378" s="8"/>
      <c r="AC378" s="8"/>
      <c r="AD378" s="8"/>
      <c r="AE378" s="18"/>
      <c r="AF378" s="18"/>
      <c r="AG378" s="18"/>
      <c r="AH378" s="18"/>
      <c r="AI378" s="18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</row>
    <row r="379" spans="1:51">
      <c r="A379" s="8"/>
      <c r="B379" s="8"/>
      <c r="C379" s="8"/>
      <c r="D379" s="8"/>
      <c r="E379" s="24"/>
      <c r="F379" s="8"/>
      <c r="G379" s="8"/>
      <c r="H379" s="8"/>
      <c r="I379" s="8"/>
      <c r="J379" s="8"/>
      <c r="K379" s="8"/>
      <c r="L379" s="38"/>
      <c r="M379" s="8"/>
      <c r="N379" s="8"/>
      <c r="O379" s="8"/>
      <c r="P379" s="8"/>
      <c r="Q379" s="8"/>
      <c r="R379" s="8"/>
      <c r="S379" s="8"/>
      <c r="T379" s="8"/>
      <c r="U379" s="8"/>
      <c r="V379" s="18"/>
      <c r="W379" s="8"/>
      <c r="X379" s="8"/>
      <c r="Y379" s="8"/>
      <c r="Z379" s="8"/>
      <c r="AA379" s="8"/>
      <c r="AB379" s="8"/>
      <c r="AC379" s="8"/>
      <c r="AD379" s="8"/>
      <c r="AE379" s="18"/>
      <c r="AF379" s="18"/>
      <c r="AG379" s="18"/>
      <c r="AH379" s="18"/>
      <c r="AI379" s="18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</row>
    <row r="380" spans="1:51">
      <c r="A380" s="8"/>
      <c r="B380" s="8"/>
      <c r="C380" s="8"/>
      <c r="D380" s="8"/>
      <c r="E380" s="8"/>
      <c r="F380" s="8"/>
      <c r="G380" s="8"/>
      <c r="H380" s="26" t="s">
        <v>228</v>
      </c>
      <c r="I380" s="8"/>
      <c r="J380" s="46"/>
      <c r="K380" s="46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18"/>
      <c r="W380" s="8"/>
      <c r="X380" s="8"/>
      <c r="Y380" s="8"/>
      <c r="Z380" s="8"/>
      <c r="AA380" s="8"/>
      <c r="AB380" s="8"/>
      <c r="AC380" s="8"/>
      <c r="AD380" s="8"/>
      <c r="AE380" s="18"/>
      <c r="AF380" s="18"/>
      <c r="AG380" s="18"/>
      <c r="AH380" s="18"/>
      <c r="AI380" s="18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</row>
    <row r="381" spans="1:51">
      <c r="A381" s="8"/>
      <c r="B381" s="8"/>
      <c r="C381" s="8"/>
      <c r="D381" s="8"/>
      <c r="E381" s="8"/>
      <c r="F381" s="8"/>
      <c r="G381" s="43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18"/>
      <c r="W381" s="8"/>
      <c r="X381" s="8"/>
      <c r="Y381" s="8"/>
      <c r="Z381" s="8"/>
      <c r="AA381" s="8"/>
      <c r="AB381" s="8"/>
      <c r="AC381" s="8"/>
      <c r="AD381" s="8"/>
      <c r="AE381" s="18"/>
      <c r="AF381" s="18"/>
      <c r="AG381" s="18"/>
      <c r="AH381" s="18"/>
      <c r="AI381" s="18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</row>
    <row r="382" spans="1:5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18"/>
      <c r="W382" s="8"/>
      <c r="X382" s="8"/>
      <c r="Y382" s="8"/>
      <c r="Z382" s="8"/>
      <c r="AA382" s="8"/>
      <c r="AB382" s="8"/>
      <c r="AC382" s="8"/>
      <c r="AD382" s="8"/>
      <c r="AE382" s="18"/>
      <c r="AF382" s="18"/>
      <c r="AG382" s="18"/>
      <c r="AH382" s="18"/>
      <c r="AI382" s="18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</row>
    <row r="383" spans="1:51" ht="15.6">
      <c r="A383" s="8"/>
      <c r="B383" s="8"/>
      <c r="C383" s="8"/>
      <c r="D383" s="8"/>
      <c r="E383" s="8"/>
      <c r="F383" s="8"/>
      <c r="G383" s="42"/>
      <c r="H383" s="119" t="s">
        <v>266</v>
      </c>
      <c r="I383" s="130" t="s">
        <v>1</v>
      </c>
      <c r="J383" s="131" t="s">
        <v>268</v>
      </c>
      <c r="K383" s="42"/>
      <c r="L383" s="42"/>
      <c r="M383" s="8"/>
      <c r="N383" s="8"/>
      <c r="O383" s="8"/>
      <c r="P383" s="8"/>
      <c r="Q383" s="8"/>
      <c r="R383" s="8"/>
      <c r="S383" s="8"/>
      <c r="T383" s="8"/>
      <c r="U383" s="8"/>
      <c r="V383" s="18"/>
      <c r="W383" s="8"/>
      <c r="X383" s="8"/>
      <c r="Y383" s="8"/>
      <c r="Z383" s="8"/>
      <c r="AA383" s="8"/>
      <c r="AB383" s="8"/>
      <c r="AC383" s="8"/>
      <c r="AD383" s="8"/>
      <c r="AE383" s="18"/>
      <c r="AF383" s="18"/>
      <c r="AG383" s="18"/>
      <c r="AH383" s="18"/>
      <c r="AI383" s="18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</row>
    <row r="384" spans="1:51">
      <c r="A384" s="8"/>
      <c r="B384" s="8"/>
      <c r="C384" s="8"/>
      <c r="D384" s="8"/>
      <c r="E384" s="8"/>
      <c r="F384" s="37" t="s">
        <v>269</v>
      </c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18"/>
      <c r="AF384" s="18"/>
      <c r="AG384" s="18"/>
      <c r="AH384" s="18"/>
      <c r="AI384" s="18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</row>
    <row r="385" spans="1:51">
      <c r="A385" s="8"/>
      <c r="B385" s="8"/>
      <c r="C385" s="8"/>
      <c r="D385" s="18" t="s">
        <v>272</v>
      </c>
      <c r="E385" s="18"/>
      <c r="F385" s="18"/>
      <c r="G385" s="18"/>
      <c r="H385" s="18"/>
      <c r="I385" s="18"/>
      <c r="J385" s="18"/>
      <c r="K385" s="54"/>
      <c r="L385" s="54"/>
      <c r="M385" s="54"/>
      <c r="N385" s="54"/>
      <c r="O385" s="54"/>
      <c r="P385" s="54"/>
      <c r="Q385" s="54"/>
      <c r="R385" s="54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18"/>
      <c r="AF385" s="18"/>
      <c r="AG385" s="18"/>
      <c r="AH385" s="18"/>
      <c r="AI385" s="18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</row>
    <row r="386" spans="1:51">
      <c r="A386" s="8"/>
      <c r="B386" s="8"/>
      <c r="C386" s="8"/>
      <c r="D386" s="18"/>
      <c r="E386" s="8" t="s">
        <v>270</v>
      </c>
      <c r="F386" s="8" t="s">
        <v>1</v>
      </c>
      <c r="G386" s="8" t="s">
        <v>273</v>
      </c>
      <c r="H386" s="8" t="s">
        <v>1</v>
      </c>
      <c r="I386" s="291">
        <f>TAN(RADIANS(D8))</f>
        <v>0.44522868530853621</v>
      </c>
      <c r="J386" s="291"/>
      <c r="K386" s="8"/>
      <c r="L386" s="132"/>
      <c r="M386" s="133"/>
      <c r="N386" s="59"/>
      <c r="O386" s="54"/>
      <c r="P386" s="134"/>
      <c r="Q386" s="134"/>
      <c r="R386" s="54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18"/>
      <c r="AF386" s="18"/>
      <c r="AG386" s="18"/>
      <c r="AH386" s="18"/>
      <c r="AI386" s="18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</row>
    <row r="387" spans="1:51">
      <c r="A387" s="8"/>
      <c r="B387" s="8"/>
      <c r="C387" s="8"/>
      <c r="D387" s="54"/>
      <c r="E387" s="35" t="s">
        <v>274</v>
      </c>
      <c r="F387" s="8" t="s">
        <v>1</v>
      </c>
      <c r="G387" s="172">
        <v>1</v>
      </c>
      <c r="H387" s="172"/>
      <c r="I387" s="160" t="s">
        <v>271</v>
      </c>
      <c r="J387" s="160"/>
      <c r="K387" s="160"/>
      <c r="L387" s="135"/>
      <c r="M387" s="135"/>
      <c r="N387" s="54"/>
      <c r="O387" s="54"/>
      <c r="P387" s="54"/>
      <c r="Q387" s="54"/>
      <c r="R387" s="54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18"/>
      <c r="AF387" s="18"/>
      <c r="AG387" s="18"/>
      <c r="AH387" s="18"/>
      <c r="AI387" s="18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</row>
    <row r="388" spans="1:5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18"/>
      <c r="AF388" s="18"/>
      <c r="AG388" s="18"/>
      <c r="AH388" s="18"/>
      <c r="AI388" s="18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</row>
    <row r="389" spans="1:51" ht="15">
      <c r="A389" s="8"/>
      <c r="B389" s="8"/>
      <c r="C389" s="179" t="s">
        <v>257</v>
      </c>
      <c r="D389" s="179"/>
      <c r="E389" s="179"/>
      <c r="F389" s="282" t="s">
        <v>277</v>
      </c>
      <c r="G389" s="282"/>
      <c r="H389" s="290" t="s">
        <v>276</v>
      </c>
      <c r="I389" s="290"/>
      <c r="J389" s="290"/>
      <c r="K389" s="284" t="s">
        <v>275</v>
      </c>
      <c r="L389" s="286"/>
      <c r="M389" s="285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18"/>
      <c r="AF389" s="18"/>
      <c r="AG389" s="18"/>
      <c r="AH389" s="18"/>
      <c r="AI389" s="18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</row>
    <row r="390" spans="1:51" ht="15">
      <c r="A390" s="8"/>
      <c r="B390" s="8"/>
      <c r="C390" s="179"/>
      <c r="D390" s="179"/>
      <c r="E390" s="179"/>
      <c r="F390" s="283" t="s">
        <v>258</v>
      </c>
      <c r="G390" s="283"/>
      <c r="H390" s="290"/>
      <c r="I390" s="290"/>
      <c r="J390" s="290"/>
      <c r="K390" s="287" t="s">
        <v>239</v>
      </c>
      <c r="L390" s="288"/>
      <c r="M390" s="289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18"/>
      <c r="AF390" s="18"/>
      <c r="AG390" s="18"/>
      <c r="AH390" s="18"/>
      <c r="AI390" s="18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</row>
    <row r="391" spans="1:51">
      <c r="A391" s="8"/>
      <c r="B391" s="8"/>
      <c r="C391" s="245" t="s">
        <v>202</v>
      </c>
      <c r="D391" s="245"/>
      <c r="E391" s="245"/>
      <c r="F391" s="277">
        <f>Y293</f>
        <v>18808.336131582801</v>
      </c>
      <c r="G391" s="278"/>
      <c r="H391" s="292">
        <f>$I$386*($G$387*F391)</f>
        <v>8374.0107687056498</v>
      </c>
      <c r="I391" s="292"/>
      <c r="J391" s="292"/>
      <c r="K391" s="277">
        <f>Q320</f>
        <v>10425.447680115836</v>
      </c>
      <c r="L391" s="281"/>
      <c r="M391" s="281"/>
      <c r="N391" s="7" t="str">
        <f>IF(K391&lt;=H391,"Ok","Error")</f>
        <v>Error</v>
      </c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18"/>
      <c r="AF391" s="18"/>
      <c r="AG391" s="18"/>
      <c r="AH391" s="18"/>
      <c r="AI391" s="18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</row>
    <row r="392" spans="1:51">
      <c r="A392" s="8"/>
      <c r="B392" s="8"/>
      <c r="C392" s="245" t="s">
        <v>203</v>
      </c>
      <c r="D392" s="245"/>
      <c r="E392" s="245"/>
      <c r="F392" s="277">
        <f>Y295</f>
        <v>59369.360176976152</v>
      </c>
      <c r="G392" s="278"/>
      <c r="H392" s="292">
        <f t="shared" ref="H392:H394" si="187">$I$386*($G$387*F392)</f>
        <v>26432.942179204056</v>
      </c>
      <c r="I392" s="292"/>
      <c r="J392" s="292"/>
      <c r="K392" s="277">
        <f>Q322</f>
        <v>10425.447680115836</v>
      </c>
      <c r="L392" s="281"/>
      <c r="M392" s="281"/>
      <c r="N392" s="7" t="str">
        <f t="shared" ref="N392:N394" si="188">IF(K392&lt;=H392,"Ok","Error")</f>
        <v>Ok</v>
      </c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18"/>
      <c r="AF392" s="18"/>
      <c r="AG392" s="18"/>
      <c r="AH392" s="18"/>
      <c r="AI392" s="18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</row>
    <row r="393" spans="1:51">
      <c r="A393" s="8"/>
      <c r="B393" s="8"/>
      <c r="C393" s="245" t="s">
        <v>204</v>
      </c>
      <c r="D393" s="245"/>
      <c r="E393" s="245"/>
      <c r="F393" s="277">
        <f>Y297</f>
        <v>18808.336131582801</v>
      </c>
      <c r="G393" s="278"/>
      <c r="H393" s="292">
        <f t="shared" si="187"/>
        <v>8374.0107687056498</v>
      </c>
      <c r="I393" s="292"/>
      <c r="J393" s="292"/>
      <c r="K393" s="277">
        <f>Q324</f>
        <v>6077.5218515206443</v>
      </c>
      <c r="L393" s="281"/>
      <c r="M393" s="281"/>
      <c r="N393" s="7" t="str">
        <f t="shared" si="188"/>
        <v>Ok</v>
      </c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18"/>
      <c r="AF393" s="18"/>
      <c r="AG393" s="18"/>
      <c r="AH393" s="18"/>
      <c r="AI393" s="18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</row>
    <row r="394" spans="1:51">
      <c r="A394" s="8"/>
      <c r="B394" s="8"/>
      <c r="C394" s="245" t="s">
        <v>205</v>
      </c>
      <c r="D394" s="245"/>
      <c r="E394" s="245"/>
      <c r="F394" s="277">
        <f>Y299</f>
        <v>25088.976131582804</v>
      </c>
      <c r="G394" s="278"/>
      <c r="H394" s="292">
        <f t="shared" si="187"/>
        <v>11170.331858801856</v>
      </c>
      <c r="I394" s="292"/>
      <c r="J394" s="292"/>
      <c r="K394" s="277">
        <f>Q326</f>
        <v>6077.5218515206443</v>
      </c>
      <c r="L394" s="281"/>
      <c r="M394" s="281"/>
      <c r="N394" s="7" t="str">
        <f t="shared" si="188"/>
        <v>Ok</v>
      </c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18"/>
      <c r="AF394" s="18"/>
      <c r="AG394" s="18"/>
      <c r="AH394" s="18"/>
      <c r="AI394" s="18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</row>
    <row r="395" spans="1:5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18"/>
      <c r="AF395" s="18"/>
      <c r="AG395" s="18"/>
      <c r="AH395" s="18"/>
      <c r="AI395" s="18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</row>
    <row r="396" spans="1:51">
      <c r="A396" s="8"/>
      <c r="B396" s="8"/>
      <c r="C396" s="108" t="s">
        <v>278</v>
      </c>
      <c r="D396" s="19" t="s">
        <v>279</v>
      </c>
      <c r="E396" s="20"/>
      <c r="F396" s="20"/>
      <c r="G396" s="20"/>
      <c r="H396" s="20"/>
      <c r="I396" s="20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18"/>
      <c r="AF396" s="18"/>
      <c r="AG396" s="18"/>
      <c r="AH396" s="18"/>
      <c r="AI396" s="18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</row>
    <row r="397" spans="1:5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18"/>
      <c r="AF397" s="18"/>
      <c r="AG397" s="18"/>
      <c r="AH397" s="18"/>
      <c r="AI397" s="18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</row>
    <row r="398" spans="1:5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18"/>
      <c r="AF398" s="18"/>
      <c r="AG398" s="18"/>
      <c r="AH398" s="18"/>
      <c r="AI398" s="18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</row>
    <row r="399" spans="1:51">
      <c r="A399" s="8"/>
      <c r="B399" s="8"/>
      <c r="C399" s="24"/>
      <c r="D399" s="24"/>
      <c r="E399" s="24"/>
      <c r="F399" s="8"/>
      <c r="G399" s="8"/>
      <c r="H399" s="8"/>
      <c r="I399" s="8"/>
      <c r="J399" s="8"/>
      <c r="K399" s="8"/>
      <c r="L399" s="8"/>
      <c r="M399" s="8"/>
      <c r="N399" s="24"/>
      <c r="O399" s="24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18"/>
      <c r="AF399" s="18"/>
      <c r="AG399" s="18"/>
      <c r="AH399" s="18"/>
      <c r="AI399" s="18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</row>
    <row r="400" spans="1:51">
      <c r="A400" s="8"/>
      <c r="B400" s="8"/>
      <c r="C400" s="117"/>
      <c r="D400" s="117"/>
      <c r="E400" s="42"/>
      <c r="F400" s="42"/>
      <c r="G400" s="8"/>
      <c r="H400" s="8"/>
      <c r="I400" s="8"/>
      <c r="J400" s="8"/>
      <c r="K400" s="8"/>
      <c r="L400" s="8"/>
      <c r="M400" s="8"/>
      <c r="N400" s="117"/>
      <c r="O400" s="42"/>
      <c r="P400" s="42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18"/>
      <c r="AF400" s="18"/>
      <c r="AG400" s="18"/>
      <c r="AH400" s="18"/>
      <c r="AI400" s="18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</row>
    <row r="401" spans="1:51">
      <c r="A401" s="8"/>
      <c r="B401" s="8"/>
      <c r="C401" s="117"/>
      <c r="D401" s="117"/>
      <c r="E401" s="8"/>
      <c r="F401" s="8"/>
      <c r="G401" s="8"/>
      <c r="H401" s="8"/>
      <c r="I401" s="8"/>
      <c r="J401" s="43"/>
      <c r="K401" s="43"/>
      <c r="L401" s="8"/>
      <c r="M401" s="8"/>
      <c r="N401" s="117"/>
      <c r="O401" s="8"/>
      <c r="P401" s="8"/>
      <c r="Q401" s="8"/>
      <c r="R401" s="8"/>
      <c r="S401" s="8"/>
      <c r="T401" s="43"/>
      <c r="U401" s="43"/>
      <c r="V401" s="8"/>
      <c r="W401" s="8"/>
      <c r="X401" s="8"/>
      <c r="Y401" s="8"/>
      <c r="Z401" s="8"/>
      <c r="AA401" s="8"/>
      <c r="AB401" s="8"/>
      <c r="AC401" s="8"/>
      <c r="AD401" s="8"/>
      <c r="AE401" s="18"/>
      <c r="AF401" s="18"/>
      <c r="AG401" s="18"/>
      <c r="AH401" s="18"/>
      <c r="AI401" s="18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</row>
    <row r="402" spans="1:51">
      <c r="A402" s="8"/>
      <c r="B402" s="8"/>
      <c r="C402" s="8"/>
      <c r="D402" s="8"/>
      <c r="E402" s="42"/>
      <c r="F402" s="42"/>
      <c r="G402" s="8"/>
      <c r="H402" s="28"/>
      <c r="I402" s="38"/>
      <c r="J402" s="8"/>
      <c r="K402" s="8"/>
      <c r="L402" s="8"/>
      <c r="M402" s="8"/>
      <c r="N402" s="8"/>
      <c r="O402" s="42"/>
      <c r="P402" s="42"/>
      <c r="Q402" s="8"/>
      <c r="R402" s="28"/>
      <c r="S402" s="3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18"/>
      <c r="AF402" s="18"/>
      <c r="AG402" s="18"/>
      <c r="AH402" s="18"/>
      <c r="AI402" s="18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</row>
    <row r="403" spans="1:51">
      <c r="A403" s="8"/>
      <c r="B403" s="8"/>
      <c r="C403" s="8"/>
      <c r="D403" s="8"/>
      <c r="E403" s="8"/>
      <c r="F403" s="126"/>
      <c r="G403" s="126"/>
      <c r="H403" s="8"/>
      <c r="I403" s="8"/>
      <c r="J403" s="8"/>
      <c r="K403" s="8"/>
      <c r="L403" s="8"/>
      <c r="M403" s="8"/>
      <c r="N403" s="8"/>
      <c r="O403" s="8"/>
      <c r="P403" s="126"/>
      <c r="Q403" s="126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18"/>
      <c r="AF403" s="18"/>
      <c r="AG403" s="18"/>
      <c r="AH403" s="18"/>
      <c r="AI403" s="18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</row>
    <row r="404" spans="1:51" ht="15" thickBo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18"/>
      <c r="AF404" s="18"/>
      <c r="AG404" s="18"/>
      <c r="AH404" s="18"/>
      <c r="AI404" s="18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</row>
    <row r="405" spans="1:51">
      <c r="A405" s="8"/>
      <c r="B405" s="42"/>
      <c r="C405" s="42"/>
      <c r="D405" s="8"/>
      <c r="E405" s="8"/>
      <c r="F405" s="8"/>
      <c r="G405" s="8"/>
      <c r="H405" s="8"/>
      <c r="I405" s="8"/>
      <c r="J405" s="8"/>
      <c r="K405" s="24"/>
      <c r="L405" s="8"/>
      <c r="M405" s="8"/>
      <c r="N405" s="8"/>
      <c r="O405" s="8"/>
      <c r="P405" s="8"/>
      <c r="Q405" s="8"/>
      <c r="R405" s="8"/>
      <c r="S405" s="8"/>
      <c r="T405" s="8"/>
      <c r="U405" s="24"/>
      <c r="V405" s="8"/>
      <c r="W405" s="114" t="s">
        <v>253</v>
      </c>
      <c r="X405" s="115"/>
      <c r="Y405" s="115"/>
      <c r="Z405" s="115"/>
      <c r="AA405" s="115"/>
      <c r="AB405" s="115"/>
      <c r="AC405" s="116"/>
      <c r="AD405" s="8"/>
      <c r="AE405" s="18"/>
      <c r="AF405" s="18"/>
      <c r="AG405" s="18"/>
      <c r="AH405" s="18"/>
      <c r="AI405" s="18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</row>
    <row r="406" spans="1:51" ht="15">
      <c r="A406" s="8"/>
      <c r="B406" s="42"/>
      <c r="C406" s="42"/>
      <c r="D406" s="8"/>
      <c r="E406" s="8"/>
      <c r="F406" s="8"/>
      <c r="G406" s="8"/>
      <c r="H406" s="8"/>
      <c r="I406" s="27"/>
      <c r="J406" s="8"/>
      <c r="K406" s="8"/>
      <c r="L406" s="8"/>
      <c r="M406" s="8"/>
      <c r="N406" s="8"/>
      <c r="O406" s="160" t="s">
        <v>248</v>
      </c>
      <c r="P406" s="160"/>
      <c r="Q406" s="26" t="s">
        <v>246</v>
      </c>
      <c r="R406" s="8" t="s">
        <v>247</v>
      </c>
      <c r="S406" s="27"/>
      <c r="T406" s="8"/>
      <c r="U406" s="8"/>
      <c r="V406" s="8"/>
      <c r="W406" s="136" t="s">
        <v>8</v>
      </c>
      <c r="X406" s="137" t="s">
        <v>280</v>
      </c>
      <c r="Y406" s="138" t="s">
        <v>281</v>
      </c>
      <c r="Z406" s="120"/>
      <c r="AA406" s="120" t="s">
        <v>249</v>
      </c>
      <c r="AB406" s="120"/>
      <c r="AC406" s="121"/>
      <c r="AD406" s="8"/>
      <c r="AE406" s="18"/>
      <c r="AF406" s="18"/>
      <c r="AG406" s="18"/>
      <c r="AH406" s="18"/>
      <c r="AI406" s="18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</row>
    <row r="407" spans="1:51" ht="15.6" thickBot="1">
      <c r="A407" s="8"/>
      <c r="B407" s="8"/>
      <c r="C407" s="8"/>
      <c r="D407" s="8"/>
      <c r="E407" s="38"/>
      <c r="F407" s="37"/>
      <c r="G407" s="27"/>
      <c r="H407" s="27"/>
      <c r="I407" s="27"/>
      <c r="J407" s="43"/>
      <c r="K407" s="8"/>
      <c r="L407" s="8"/>
      <c r="M407" s="8"/>
      <c r="N407" s="8"/>
      <c r="O407" s="38"/>
      <c r="P407" s="37"/>
      <c r="Q407" s="27"/>
      <c r="R407" s="27"/>
      <c r="S407" s="27"/>
      <c r="T407" s="43"/>
      <c r="U407" s="8"/>
      <c r="V407" s="8"/>
      <c r="W407" s="139" t="s">
        <v>8</v>
      </c>
      <c r="X407" s="140" t="s">
        <v>280</v>
      </c>
      <c r="Y407" s="141" t="s">
        <v>281</v>
      </c>
      <c r="Z407" s="68"/>
      <c r="AA407" s="124" t="s">
        <v>284</v>
      </c>
      <c r="AB407" s="68"/>
      <c r="AC407" s="125"/>
      <c r="AD407" s="8"/>
      <c r="AE407" s="18"/>
      <c r="AF407" s="18"/>
      <c r="AG407" s="18"/>
      <c r="AH407" s="18"/>
      <c r="AI407" s="18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</row>
    <row r="408" spans="1:51">
      <c r="A408" s="8"/>
      <c r="B408" s="8"/>
      <c r="C408" s="8"/>
      <c r="D408" s="8"/>
      <c r="E408" s="8"/>
      <c r="F408" s="8"/>
      <c r="G408" s="27"/>
      <c r="H408" s="43"/>
      <c r="I408" s="44"/>
      <c r="J408" s="44"/>
      <c r="K408" s="8"/>
      <c r="L408" s="8"/>
      <c r="M408" s="8"/>
      <c r="N408" s="8"/>
      <c r="O408" s="8"/>
      <c r="P408" s="8"/>
      <c r="Q408" s="27"/>
      <c r="R408" s="43"/>
      <c r="S408" s="44"/>
      <c r="T408" s="44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18"/>
      <c r="AF408" s="18"/>
      <c r="AG408" s="18"/>
      <c r="AH408" s="18"/>
      <c r="AI408" s="18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</row>
    <row r="409" spans="1:51">
      <c r="A409" s="8"/>
      <c r="B409" s="37" t="s">
        <v>256</v>
      </c>
      <c r="C409" s="42"/>
      <c r="D409" s="8"/>
      <c r="E409" s="8"/>
      <c r="F409" s="8"/>
      <c r="G409" s="37" t="s">
        <v>255</v>
      </c>
      <c r="H409" s="8"/>
      <c r="I409" s="8"/>
      <c r="J409" s="38"/>
      <c r="K409" s="8"/>
      <c r="L409" s="8"/>
      <c r="M409" s="24"/>
      <c r="N409" s="8"/>
      <c r="O409" s="8"/>
      <c r="P409" s="8"/>
      <c r="Q409" s="8"/>
      <c r="R409" s="8"/>
      <c r="S409" s="8"/>
      <c r="T409" s="3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18"/>
      <c r="AF409" s="18"/>
      <c r="AG409" s="18"/>
      <c r="AH409" s="18"/>
      <c r="AI409" s="18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</row>
    <row r="410" spans="1:51">
      <c r="A410" s="8"/>
      <c r="B410" s="42"/>
      <c r="C410" s="42"/>
      <c r="D410" s="37" t="s">
        <v>228</v>
      </c>
      <c r="E410" s="8"/>
      <c r="F410" s="8"/>
      <c r="G410" s="8"/>
      <c r="H410" s="46"/>
      <c r="I410" s="46"/>
      <c r="J410" s="8"/>
      <c r="K410" s="8"/>
      <c r="L410" s="8"/>
      <c r="M410" s="8"/>
      <c r="N410" s="8"/>
      <c r="O410" s="8"/>
      <c r="P410" s="26" t="s">
        <v>228</v>
      </c>
      <c r="Q410" s="8"/>
      <c r="R410" s="46"/>
      <c r="S410" s="46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18"/>
      <c r="AF410" s="18"/>
      <c r="AG410" s="18"/>
      <c r="AH410" s="18"/>
      <c r="AI410" s="18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</row>
    <row r="411" spans="1:51">
      <c r="A411" s="8"/>
      <c r="B411" s="42"/>
      <c r="C411" s="42"/>
      <c r="D411" s="8"/>
      <c r="E411" s="43"/>
      <c r="F411" s="8"/>
      <c r="G411" s="8"/>
      <c r="H411" s="8"/>
      <c r="I411" s="8"/>
      <c r="J411" s="8"/>
      <c r="K411" s="8"/>
      <c r="L411" s="8"/>
      <c r="M411" s="8"/>
      <c r="N411" s="8"/>
      <c r="O411" s="43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18"/>
      <c r="AF411" s="18"/>
      <c r="AG411" s="18"/>
      <c r="AH411" s="18"/>
      <c r="AI411" s="18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</row>
    <row r="412" spans="1:51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230" t="s">
        <v>281</v>
      </c>
      <c r="O412" s="8"/>
      <c r="P412" s="8"/>
      <c r="Q412" s="8"/>
      <c r="R412" s="8"/>
      <c r="S412" s="8"/>
      <c r="T412" s="8"/>
      <c r="U412" s="142"/>
      <c r="V412" s="142" t="s">
        <v>282</v>
      </c>
      <c r="W412" s="8"/>
      <c r="X412" s="8"/>
      <c r="Y412" s="8"/>
      <c r="Z412" s="8"/>
      <c r="AA412" s="8"/>
      <c r="AB412" s="8"/>
      <c r="AC412" s="8"/>
      <c r="AD412" s="8"/>
      <c r="AE412" s="18"/>
      <c r="AF412" s="18"/>
      <c r="AG412" s="18"/>
      <c r="AH412" s="18"/>
      <c r="AI412" s="18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</row>
    <row r="413" spans="1:51" ht="18.75" customHeight="1">
      <c r="A413" s="8"/>
      <c r="B413" s="8"/>
      <c r="C413" s="8"/>
      <c r="D413" s="8"/>
      <c r="E413" s="8"/>
      <c r="F413" s="35" t="s">
        <v>244</v>
      </c>
      <c r="G413" s="163">
        <f>F119</f>
        <v>2.5</v>
      </c>
      <c r="H413" s="163"/>
      <c r="I413" s="42"/>
      <c r="J413" s="42"/>
      <c r="K413" s="8"/>
      <c r="L413" s="8"/>
      <c r="M413" s="8"/>
      <c r="N413" s="230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18"/>
      <c r="AF413" s="18"/>
      <c r="AG413" s="18"/>
      <c r="AH413" s="18"/>
      <c r="AI413" s="18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</row>
    <row r="414" spans="1:5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163" t="str">
        <f>"B/2 = "&amp;G413/2</f>
        <v>B/2 = 1.25</v>
      </c>
      <c r="P414" s="163"/>
      <c r="Q414" s="163"/>
      <c r="R414" s="163" t="str">
        <f>"B/2 = "&amp;G413/2</f>
        <v>B/2 = 1.25</v>
      </c>
      <c r="S414" s="163"/>
      <c r="T414" s="163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18"/>
      <c r="AF414" s="18"/>
      <c r="AG414" s="18"/>
      <c r="AH414" s="18"/>
      <c r="AI414" s="18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</row>
    <row r="415" spans="1:5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 t="s">
        <v>293</v>
      </c>
      <c r="O415" s="8"/>
      <c r="P415" s="8"/>
      <c r="Q415" s="8"/>
      <c r="R415" s="8"/>
      <c r="S415" s="8"/>
      <c r="T415" s="8"/>
      <c r="U415" s="8"/>
      <c r="V415" s="143" t="s">
        <v>283</v>
      </c>
      <c r="W415" s="8"/>
      <c r="X415" s="8"/>
      <c r="Y415" s="8"/>
      <c r="Z415" s="8"/>
      <c r="AA415" s="8"/>
      <c r="AB415" s="8"/>
      <c r="AC415" s="8"/>
      <c r="AD415" s="8"/>
      <c r="AE415" s="18"/>
      <c r="AF415" s="18"/>
      <c r="AG415" s="18"/>
      <c r="AH415" s="18"/>
      <c r="AI415" s="18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</row>
    <row r="416" spans="1:5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171" t="s">
        <v>292</v>
      </c>
      <c r="Q416" s="171"/>
      <c r="R416" s="171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18"/>
      <c r="AF416" s="18"/>
      <c r="AG416" s="18"/>
      <c r="AH416" s="18"/>
      <c r="AI416" s="18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</row>
    <row r="417" spans="1:51">
      <c r="A417" s="8"/>
      <c r="B417" s="8"/>
      <c r="C417" s="8"/>
      <c r="D417" s="8"/>
      <c r="E417" s="8"/>
      <c r="F417" s="8"/>
      <c r="G417" s="8"/>
      <c r="H417" s="8"/>
      <c r="I417" s="8"/>
      <c r="J417" s="37" t="s">
        <v>285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18"/>
      <c r="AF417" s="18"/>
      <c r="AG417" s="18"/>
      <c r="AH417" s="18"/>
      <c r="AI417" s="18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</row>
    <row r="418" spans="1:5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18"/>
      <c r="AF418" s="18"/>
      <c r="AG418" s="18"/>
      <c r="AH418" s="18"/>
      <c r="AI418" s="18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</row>
    <row r="419" spans="1:51" ht="15">
      <c r="A419" s="8"/>
      <c r="B419" s="8"/>
      <c r="C419" s="179" t="s">
        <v>257</v>
      </c>
      <c r="D419" s="179"/>
      <c r="E419" s="179"/>
      <c r="F419" s="282" t="s">
        <v>277</v>
      </c>
      <c r="G419" s="282"/>
      <c r="H419" s="284" t="s">
        <v>286</v>
      </c>
      <c r="I419" s="285"/>
      <c r="J419" s="284" t="s">
        <v>287</v>
      </c>
      <c r="K419" s="285"/>
      <c r="L419" s="179"/>
      <c r="M419" s="179"/>
      <c r="N419" s="179"/>
      <c r="O419" s="179"/>
      <c r="P419" s="179"/>
      <c r="Q419" s="179"/>
      <c r="R419" s="179"/>
      <c r="S419" s="179"/>
      <c r="T419" s="179"/>
      <c r="U419" s="284" t="s">
        <v>288</v>
      </c>
      <c r="V419" s="285"/>
      <c r="W419" s="8"/>
      <c r="X419" s="8"/>
      <c r="Y419" s="8"/>
      <c r="Z419" s="8"/>
      <c r="AA419" s="8"/>
      <c r="AB419" s="8"/>
      <c r="AC419" s="8"/>
      <c r="AD419" s="8"/>
      <c r="AE419" s="18"/>
      <c r="AF419" s="18"/>
      <c r="AG419" s="18"/>
      <c r="AH419" s="18"/>
      <c r="AI419" s="18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</row>
    <row r="420" spans="1:51">
      <c r="A420" s="8"/>
      <c r="B420" s="8"/>
      <c r="C420" s="179"/>
      <c r="D420" s="179"/>
      <c r="E420" s="179"/>
      <c r="F420" s="283" t="s">
        <v>258</v>
      </c>
      <c r="G420" s="283"/>
      <c r="H420" s="283" t="s">
        <v>259</v>
      </c>
      <c r="I420" s="283"/>
      <c r="J420" s="283" t="s">
        <v>259</v>
      </c>
      <c r="K420" s="283"/>
      <c r="L420" s="179"/>
      <c r="M420" s="179"/>
      <c r="N420" s="179"/>
      <c r="O420" s="179"/>
      <c r="P420" s="179"/>
      <c r="Q420" s="179"/>
      <c r="R420" s="179"/>
      <c r="S420" s="179"/>
      <c r="T420" s="179"/>
      <c r="U420" s="283" t="s">
        <v>289</v>
      </c>
      <c r="V420" s="283"/>
      <c r="W420" s="8"/>
      <c r="X420" s="8"/>
      <c r="Y420" s="8"/>
      <c r="Z420" s="8"/>
      <c r="AA420" s="8"/>
      <c r="AB420" s="8"/>
      <c r="AC420" s="8"/>
      <c r="AD420" s="8"/>
      <c r="AE420" s="18"/>
      <c r="AF420" s="18"/>
      <c r="AG420" s="18"/>
      <c r="AH420" s="18"/>
      <c r="AI420" s="18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</row>
    <row r="421" spans="1:51">
      <c r="A421" s="8"/>
      <c r="B421" s="8"/>
      <c r="C421" s="245" t="s">
        <v>202</v>
      </c>
      <c r="D421" s="245"/>
      <c r="E421" s="245"/>
      <c r="F421" s="277">
        <f>Y293</f>
        <v>18808.336131582801</v>
      </c>
      <c r="G421" s="278"/>
      <c r="H421" s="277">
        <f>Y306</f>
        <v>30550.533328957004</v>
      </c>
      <c r="I421" s="278"/>
      <c r="J421" s="277">
        <f>Q333</f>
        <v>27643.730432643726</v>
      </c>
      <c r="K421" s="278"/>
      <c r="L421" s="277">
        <f>(H421-J421)/F421</f>
        <v>0.1545486467265012</v>
      </c>
      <c r="M421" s="281"/>
      <c r="N421" s="281"/>
      <c r="O421" s="279">
        <f>G413/2-L421</f>
        <v>1.0954513532734989</v>
      </c>
      <c r="P421" s="280"/>
      <c r="Q421" s="280"/>
      <c r="R421" s="277">
        <f>(F421/(G413-2*O421))/10000</f>
        <v>6.0849242390543852</v>
      </c>
      <c r="S421" s="281"/>
      <c r="T421" s="281"/>
      <c r="U421" s="277">
        <f>D5</f>
        <v>3</v>
      </c>
      <c r="V421" s="278"/>
      <c r="W421" s="7" t="str">
        <f>IF(R421&lt;U421,"Ok","Error")</f>
        <v>Error</v>
      </c>
      <c r="X421" s="8"/>
      <c r="Y421" s="8"/>
      <c r="Z421" s="8"/>
      <c r="AA421" s="8"/>
      <c r="AB421" s="8"/>
      <c r="AC421" s="8"/>
      <c r="AD421" s="8"/>
      <c r="AE421" s="18"/>
      <c r="AF421" s="18"/>
      <c r="AG421" s="18"/>
      <c r="AH421" s="18"/>
      <c r="AI421" s="18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</row>
    <row r="422" spans="1:51">
      <c r="A422" s="8"/>
      <c r="B422" s="8"/>
      <c r="C422" s="245" t="s">
        <v>203</v>
      </c>
      <c r="D422" s="245"/>
      <c r="E422" s="245"/>
      <c r="F422" s="277">
        <f>Y295</f>
        <v>59369.360176976152</v>
      </c>
      <c r="G422" s="278"/>
      <c r="H422" s="277">
        <f>Y308</f>
        <v>92453.005042440374</v>
      </c>
      <c r="I422" s="278"/>
      <c r="J422" s="277">
        <f>Q335</f>
        <v>27643.730432643726</v>
      </c>
      <c r="K422" s="278"/>
      <c r="L422" s="277">
        <f t="shared" ref="L422:L424" si="189">(H422-J422)/F422</f>
        <v>1.0916283149524344</v>
      </c>
      <c r="M422" s="281"/>
      <c r="N422" s="281"/>
      <c r="O422" s="279">
        <f>G413/2-L422</f>
        <v>0.1583716850475656</v>
      </c>
      <c r="P422" s="280"/>
      <c r="Q422" s="280"/>
      <c r="R422" s="277">
        <f>(F422/(G413-2*O422))/10000</f>
        <v>2.719302869107195</v>
      </c>
      <c r="S422" s="281"/>
      <c r="T422" s="281"/>
      <c r="U422" s="277">
        <f>+D5</f>
        <v>3</v>
      </c>
      <c r="V422" s="278"/>
      <c r="W422" s="7" t="str">
        <f t="shared" ref="W422:W424" si="190">IF(R422&lt;U422,"Ok","Error")</f>
        <v>Ok</v>
      </c>
      <c r="X422" s="8"/>
      <c r="Y422" s="8"/>
      <c r="Z422" s="8"/>
      <c r="AA422" s="8"/>
      <c r="AB422" s="8"/>
      <c r="AC422" s="8"/>
      <c r="AD422" s="8"/>
      <c r="AE422" s="18"/>
      <c r="AF422" s="18"/>
      <c r="AG422" s="18"/>
      <c r="AH422" s="18"/>
      <c r="AI422" s="18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</row>
    <row r="423" spans="1:51">
      <c r="A423" s="8"/>
      <c r="B423" s="8"/>
      <c r="C423" s="245" t="s">
        <v>204</v>
      </c>
      <c r="D423" s="245"/>
      <c r="E423" s="245"/>
      <c r="F423" s="277">
        <f>Y297</f>
        <v>18808.336131582801</v>
      </c>
      <c r="G423" s="278"/>
      <c r="H423" s="277">
        <f>Y310</f>
        <v>30550.533328957004</v>
      </c>
      <c r="I423" s="278"/>
      <c r="J423" s="277">
        <f>Q337</f>
        <v>9950.1713583128603</v>
      </c>
      <c r="K423" s="278"/>
      <c r="L423" s="277">
        <f t="shared" si="189"/>
        <v>1.095278275894495</v>
      </c>
      <c r="M423" s="281"/>
      <c r="N423" s="281"/>
      <c r="O423" s="279">
        <f>G413/2-L423</f>
        <v>0.154721724105505</v>
      </c>
      <c r="P423" s="280"/>
      <c r="Q423" s="280"/>
      <c r="R423" s="277">
        <f>(F423/(G413-2*O423))/10000</f>
        <v>0.85860993254076712</v>
      </c>
      <c r="S423" s="281"/>
      <c r="T423" s="281"/>
      <c r="U423" s="277">
        <f>+D5</f>
        <v>3</v>
      </c>
      <c r="V423" s="278"/>
      <c r="W423" s="7" t="str">
        <f t="shared" si="190"/>
        <v>Ok</v>
      </c>
      <c r="X423" s="8"/>
      <c r="Y423" s="8"/>
      <c r="Z423" s="8"/>
      <c r="AA423" s="8"/>
      <c r="AB423" s="8"/>
      <c r="AC423" s="8"/>
      <c r="AD423" s="8"/>
      <c r="AE423" s="18"/>
      <c r="AF423" s="18"/>
      <c r="AG423" s="18"/>
      <c r="AH423" s="18"/>
      <c r="AI423" s="18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</row>
    <row r="424" spans="1:51">
      <c r="A424" s="8"/>
      <c r="B424" s="8"/>
      <c r="C424" s="245" t="s">
        <v>205</v>
      </c>
      <c r="D424" s="245"/>
      <c r="E424" s="245"/>
      <c r="F424" s="277">
        <f>Y299</f>
        <v>25088.976131582804</v>
      </c>
      <c r="G424" s="278"/>
      <c r="H424" s="277">
        <f>Y312</f>
        <v>39909.137428957001</v>
      </c>
      <c r="I424" s="278"/>
      <c r="J424" s="277">
        <f>Q339</f>
        <v>9950.1713583128603</v>
      </c>
      <c r="K424" s="278"/>
      <c r="L424" s="277">
        <f t="shared" si="189"/>
        <v>1.1941087557148591</v>
      </c>
      <c r="M424" s="281"/>
      <c r="N424" s="281"/>
      <c r="O424" s="279">
        <f>G413/2-L424</f>
        <v>5.5891244285140917E-2</v>
      </c>
      <c r="P424" s="280"/>
      <c r="Q424" s="280"/>
      <c r="R424" s="277">
        <f>(F424/(G413-2*O424))/10000</f>
        <v>1.0505314533332923</v>
      </c>
      <c r="S424" s="281"/>
      <c r="T424" s="281"/>
      <c r="U424" s="277">
        <f>+D5</f>
        <v>3</v>
      </c>
      <c r="V424" s="278"/>
      <c r="W424" s="7" t="str">
        <f t="shared" si="190"/>
        <v>Ok</v>
      </c>
      <c r="X424" s="8"/>
      <c r="Y424" s="8"/>
      <c r="Z424" s="8"/>
      <c r="AA424" s="8"/>
      <c r="AB424" s="8"/>
      <c r="AC424" s="8"/>
      <c r="AD424" s="8"/>
      <c r="AE424" s="18"/>
      <c r="AF424" s="18"/>
      <c r="AG424" s="18"/>
      <c r="AH424" s="18"/>
      <c r="AI424" s="18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</row>
    <row r="425" spans="1:51">
      <c r="A425" s="8"/>
      <c r="B425" s="8"/>
      <c r="C425" s="144" t="s">
        <v>290</v>
      </c>
      <c r="D425" s="18" t="s">
        <v>291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18"/>
      <c r="AF425" s="18"/>
      <c r="AG425" s="18"/>
      <c r="AH425" s="18"/>
      <c r="AI425" s="18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</row>
    <row r="426" spans="1:5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18"/>
      <c r="AF426" s="18"/>
      <c r="AG426" s="18"/>
      <c r="AH426" s="18"/>
      <c r="AI426" s="18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</row>
    <row r="427" spans="1:51">
      <c r="A427" s="4"/>
      <c r="B427" s="6" t="s">
        <v>294</v>
      </c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18"/>
      <c r="AF427" s="18"/>
      <c r="AG427" s="18"/>
      <c r="AH427" s="18"/>
      <c r="AI427" s="18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</row>
    <row r="428" spans="1:51" ht="9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18"/>
      <c r="AF428" s="18"/>
      <c r="AG428" s="18"/>
      <c r="AH428" s="18"/>
      <c r="AI428" s="18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</row>
    <row r="429" spans="1:51" ht="15" customHeight="1">
      <c r="A429" s="8"/>
      <c r="B429" s="145" t="s">
        <v>295</v>
      </c>
      <c r="C429" s="20"/>
      <c r="D429" s="53"/>
      <c r="E429" s="53"/>
      <c r="F429" s="53"/>
      <c r="G429" s="53"/>
      <c r="H429" s="53"/>
      <c r="I429" s="53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8"/>
      <c r="W429" s="8"/>
      <c r="X429" s="8"/>
      <c r="Y429" s="8"/>
      <c r="Z429" s="8"/>
      <c r="AA429" s="8"/>
      <c r="AB429" s="8"/>
      <c r="AC429" s="8"/>
      <c r="AD429" s="8"/>
      <c r="AE429" s="18"/>
      <c r="AF429" s="18"/>
      <c r="AG429" s="18"/>
      <c r="AH429" s="18"/>
      <c r="AI429" s="18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</row>
    <row r="430" spans="1:51" ht="15" customHeight="1">
      <c r="A430" s="8"/>
      <c r="B430" s="51" t="s">
        <v>260</v>
      </c>
      <c r="C430" s="52" t="s">
        <v>296</v>
      </c>
      <c r="D430" s="53"/>
      <c r="E430" s="53"/>
      <c r="F430" s="53"/>
      <c r="G430" s="53"/>
      <c r="H430" s="53"/>
      <c r="I430" s="53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8"/>
      <c r="W430" s="8"/>
      <c r="X430" s="8"/>
      <c r="Y430" s="8"/>
      <c r="Z430" s="8"/>
      <c r="AA430" s="8"/>
      <c r="AB430" s="8"/>
      <c r="AC430" s="8"/>
      <c r="AD430" s="8"/>
      <c r="AE430" s="18"/>
      <c r="AF430" s="18"/>
      <c r="AG430" s="18"/>
      <c r="AH430" s="18"/>
      <c r="AI430" s="18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</row>
    <row r="431" spans="1:51" ht="15">
      <c r="A431" s="8"/>
      <c r="B431" s="275" t="s">
        <v>230</v>
      </c>
      <c r="C431" s="275"/>
      <c r="D431" s="275"/>
      <c r="E431" s="275"/>
      <c r="F431" s="275"/>
      <c r="G431" s="275"/>
      <c r="H431" s="275"/>
      <c r="I431" s="275"/>
      <c r="J431" s="275"/>
      <c r="K431" s="275"/>
      <c r="L431" s="275"/>
      <c r="M431" s="275"/>
      <c r="N431" s="275"/>
      <c r="O431" s="275"/>
      <c r="P431" s="275"/>
      <c r="Q431" s="275"/>
      <c r="R431" s="275"/>
      <c r="S431" s="275"/>
      <c r="T431" s="275"/>
      <c r="U431" s="146"/>
      <c r="V431" s="146"/>
      <c r="W431" s="146"/>
      <c r="X431" s="146"/>
      <c r="Y431" s="146"/>
      <c r="Z431" s="146"/>
      <c r="AA431" s="8"/>
      <c r="AB431" s="8"/>
      <c r="AC431" s="8"/>
      <c r="AD431" s="8"/>
      <c r="AE431" s="18"/>
      <c r="AF431" s="18"/>
      <c r="AG431" s="18"/>
      <c r="AH431" s="18"/>
      <c r="AI431" s="18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</row>
    <row r="432" spans="1:51">
      <c r="A432" s="8"/>
      <c r="B432" s="245" t="s">
        <v>165</v>
      </c>
      <c r="C432" s="245"/>
      <c r="D432" s="266" t="s">
        <v>168</v>
      </c>
      <c r="E432" s="274"/>
      <c r="F432" s="274"/>
      <c r="G432" s="274"/>
      <c r="H432" s="245" t="s">
        <v>142</v>
      </c>
      <c r="I432" s="245"/>
      <c r="J432" s="245" t="s">
        <v>170</v>
      </c>
      <c r="K432" s="245"/>
      <c r="L432" s="245"/>
      <c r="M432" s="245"/>
      <c r="N432" s="245" t="s">
        <v>172</v>
      </c>
      <c r="O432" s="245"/>
      <c r="P432" s="245"/>
      <c r="Q432" s="245"/>
      <c r="R432" s="247" t="s">
        <v>227</v>
      </c>
      <c r="S432" s="247"/>
      <c r="T432" s="247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18"/>
      <c r="AF432" s="18"/>
      <c r="AG432" s="18"/>
      <c r="AH432" s="18"/>
      <c r="AI432" s="18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</row>
    <row r="433" spans="1:51" ht="15">
      <c r="A433" s="8"/>
      <c r="B433" s="245" t="s">
        <v>164</v>
      </c>
      <c r="C433" s="245"/>
      <c r="D433" s="245" t="s">
        <v>219</v>
      </c>
      <c r="E433" s="245"/>
      <c r="F433" s="245" t="s">
        <v>220</v>
      </c>
      <c r="G433" s="245"/>
      <c r="H433" s="245" t="s">
        <v>142</v>
      </c>
      <c r="I433" s="245"/>
      <c r="J433" s="245" t="s">
        <v>221</v>
      </c>
      <c r="K433" s="245"/>
      <c r="L433" s="245" t="s">
        <v>222</v>
      </c>
      <c r="M433" s="245"/>
      <c r="N433" s="245" t="s">
        <v>224</v>
      </c>
      <c r="O433" s="245"/>
      <c r="P433" s="245" t="s">
        <v>225</v>
      </c>
      <c r="Q433" s="245"/>
      <c r="R433" s="247"/>
      <c r="S433" s="247"/>
      <c r="T433" s="247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18"/>
      <c r="AF433" s="18"/>
      <c r="AG433" s="18"/>
      <c r="AH433" s="18"/>
      <c r="AI433" s="18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</row>
    <row r="434" spans="1:51" ht="15">
      <c r="A434" s="8"/>
      <c r="B434" s="245" t="s">
        <v>166</v>
      </c>
      <c r="C434" s="245"/>
      <c r="D434" s="248">
        <f>G234</f>
        <v>11684.999999999998</v>
      </c>
      <c r="E434" s="245"/>
      <c r="F434" s="248">
        <f>+G235</f>
        <v>375</v>
      </c>
      <c r="G434" s="245"/>
      <c r="H434" s="248">
        <f>G238</f>
        <v>3474.4</v>
      </c>
      <c r="I434" s="245"/>
      <c r="J434" s="248">
        <f>G239</f>
        <v>1289.8135162729502</v>
      </c>
      <c r="K434" s="245"/>
      <c r="L434" s="248">
        <f>+G240</f>
        <v>318.21057144891864</v>
      </c>
      <c r="M434" s="245"/>
      <c r="N434" s="248">
        <f>G242</f>
        <v>632</v>
      </c>
      <c r="O434" s="245"/>
      <c r="P434" s="248">
        <f>G243</f>
        <v>536.29088308191092</v>
      </c>
      <c r="Q434" s="245"/>
      <c r="R434" s="245" t="s">
        <v>226</v>
      </c>
      <c r="S434" s="245"/>
      <c r="T434" s="245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18"/>
      <c r="AF434" s="18"/>
      <c r="AG434" s="18"/>
      <c r="AH434" s="18"/>
      <c r="AI434" s="18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</row>
    <row r="435" spans="1:51">
      <c r="A435" s="8"/>
      <c r="B435" s="293" t="s">
        <v>229</v>
      </c>
      <c r="C435" s="293"/>
      <c r="D435" s="294">
        <f>F283</f>
        <v>0.9</v>
      </c>
      <c r="E435" s="295"/>
      <c r="F435" s="294">
        <f>F283</f>
        <v>0.9</v>
      </c>
      <c r="G435" s="295"/>
      <c r="H435" s="294">
        <f>H283</f>
        <v>1</v>
      </c>
      <c r="I435" s="295"/>
      <c r="J435" s="294">
        <f>K283</f>
        <v>1.5</v>
      </c>
      <c r="K435" s="295"/>
      <c r="L435" s="294">
        <f>K283</f>
        <v>1.5</v>
      </c>
      <c r="M435" s="295"/>
      <c r="N435" s="294">
        <f>J283</f>
        <v>0</v>
      </c>
      <c r="O435" s="295"/>
      <c r="P435" s="294">
        <f>J283</f>
        <v>0</v>
      </c>
      <c r="Q435" s="295"/>
      <c r="R435" s="294">
        <f>SUM(D436:Q436)</f>
        <v>16740.436131582799</v>
      </c>
      <c r="S435" s="294"/>
      <c r="T435" s="294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18"/>
      <c r="AF435" s="18"/>
      <c r="AG435" s="18"/>
      <c r="AH435" s="18"/>
      <c r="AI435" s="18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</row>
    <row r="436" spans="1:51">
      <c r="A436" s="8"/>
      <c r="B436" s="296" t="s">
        <v>202</v>
      </c>
      <c r="C436" s="296"/>
      <c r="D436" s="294">
        <f>D434*D435</f>
        <v>10516.499999999998</v>
      </c>
      <c r="E436" s="295"/>
      <c r="F436" s="294">
        <f t="shared" ref="F436" si="191">F434*F435</f>
        <v>337.5</v>
      </c>
      <c r="G436" s="295"/>
      <c r="H436" s="294">
        <f t="shared" ref="H436" si="192">H434*H435</f>
        <v>3474.4</v>
      </c>
      <c r="I436" s="295"/>
      <c r="J436" s="294">
        <f>J434*J435</f>
        <v>1934.7202744094252</v>
      </c>
      <c r="K436" s="295"/>
      <c r="L436" s="294">
        <f>L434*L435</f>
        <v>477.31585717337794</v>
      </c>
      <c r="M436" s="295"/>
      <c r="N436" s="294">
        <f t="shared" ref="N436" si="193">N434*N435</f>
        <v>0</v>
      </c>
      <c r="O436" s="295"/>
      <c r="P436" s="294">
        <f t="shared" ref="P436" si="194">P434*P435</f>
        <v>0</v>
      </c>
      <c r="Q436" s="295"/>
      <c r="R436" s="294"/>
      <c r="S436" s="294"/>
      <c r="T436" s="294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18"/>
      <c r="AF436" s="18"/>
      <c r="AG436" s="18"/>
      <c r="AH436" s="18"/>
      <c r="AI436" s="18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</row>
    <row r="437" spans="1:51">
      <c r="A437" s="8"/>
      <c r="B437" s="305" t="s">
        <v>229</v>
      </c>
      <c r="C437" s="306"/>
      <c r="D437" s="294">
        <f>F284</f>
        <v>1.25</v>
      </c>
      <c r="E437" s="295"/>
      <c r="F437" s="294">
        <f>F284</f>
        <v>1.25</v>
      </c>
      <c r="G437" s="295"/>
      <c r="H437" s="294">
        <f>H284</f>
        <v>1.35</v>
      </c>
      <c r="I437" s="295"/>
      <c r="J437" s="294">
        <f>K284</f>
        <v>1.5</v>
      </c>
      <c r="K437" s="295"/>
      <c r="L437" s="294">
        <f>K284</f>
        <v>1.5</v>
      </c>
      <c r="M437" s="295"/>
      <c r="N437" s="294">
        <f>J284</f>
        <v>1.75</v>
      </c>
      <c r="O437" s="295"/>
      <c r="P437" s="294">
        <f>J284</f>
        <v>1.75</v>
      </c>
      <c r="Q437" s="295"/>
      <c r="R437" s="297">
        <f>SUM(D438:Q438)</f>
        <v>24221.985176976144</v>
      </c>
      <c r="S437" s="298"/>
      <c r="T437" s="299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18"/>
      <c r="AF437" s="18"/>
      <c r="AG437" s="18"/>
      <c r="AH437" s="18"/>
      <c r="AI437" s="18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</row>
    <row r="438" spans="1:51">
      <c r="A438" s="8"/>
      <c r="B438" s="303" t="s">
        <v>203</v>
      </c>
      <c r="C438" s="304"/>
      <c r="D438" s="294">
        <f>D434*D437</f>
        <v>14606.249999999998</v>
      </c>
      <c r="E438" s="295"/>
      <c r="F438" s="294">
        <f t="shared" ref="F438" si="195">F434*F437</f>
        <v>468.75</v>
      </c>
      <c r="G438" s="295"/>
      <c r="H438" s="294">
        <f t="shared" ref="H438" si="196">H434*H437</f>
        <v>4690.4400000000005</v>
      </c>
      <c r="I438" s="295"/>
      <c r="J438" s="294">
        <f>J434*J437</f>
        <v>1934.7202744094252</v>
      </c>
      <c r="K438" s="295"/>
      <c r="L438" s="294">
        <f>L434*L437</f>
        <v>477.31585717337794</v>
      </c>
      <c r="M438" s="295"/>
      <c r="N438" s="294">
        <f t="shared" ref="N438" si="197">N434*N437</f>
        <v>1106</v>
      </c>
      <c r="O438" s="295"/>
      <c r="P438" s="294">
        <f t="shared" ref="P438" si="198">P434*P437</f>
        <v>938.50904539334408</v>
      </c>
      <c r="Q438" s="295"/>
      <c r="R438" s="300"/>
      <c r="S438" s="301"/>
      <c r="T438" s="302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18"/>
      <c r="AF438" s="18"/>
      <c r="AG438" s="18"/>
      <c r="AH438" s="18"/>
      <c r="AI438" s="18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</row>
    <row r="439" spans="1:51">
      <c r="A439" s="8"/>
      <c r="B439" s="305" t="s">
        <v>229</v>
      </c>
      <c r="C439" s="306"/>
      <c r="D439" s="294">
        <f>F285</f>
        <v>0.9</v>
      </c>
      <c r="E439" s="295"/>
      <c r="F439" s="294">
        <f>F285</f>
        <v>0.9</v>
      </c>
      <c r="G439" s="295"/>
      <c r="H439" s="294">
        <f>H285</f>
        <v>1</v>
      </c>
      <c r="I439" s="295"/>
      <c r="J439" s="294">
        <f>K285</f>
        <v>1.5</v>
      </c>
      <c r="K439" s="295"/>
      <c r="L439" s="294">
        <f>K285</f>
        <v>1.5</v>
      </c>
      <c r="M439" s="295"/>
      <c r="N439" s="294">
        <f>J285</f>
        <v>0</v>
      </c>
      <c r="O439" s="295"/>
      <c r="P439" s="294">
        <f>J285</f>
        <v>0</v>
      </c>
      <c r="Q439" s="295"/>
      <c r="R439" s="297">
        <f>SUM(D440:Q440)</f>
        <v>16740.436131582799</v>
      </c>
      <c r="S439" s="298"/>
      <c r="T439" s="299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18"/>
      <c r="AF439" s="18"/>
      <c r="AG439" s="18"/>
      <c r="AH439" s="18"/>
      <c r="AI439" s="18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</row>
    <row r="440" spans="1:51">
      <c r="A440" s="8"/>
      <c r="B440" s="303" t="s">
        <v>204</v>
      </c>
      <c r="C440" s="304"/>
      <c r="D440" s="294">
        <f>D434*D439</f>
        <v>10516.499999999998</v>
      </c>
      <c r="E440" s="295"/>
      <c r="F440" s="294">
        <f t="shared" ref="F440" si="199">F434*F439</f>
        <v>337.5</v>
      </c>
      <c r="G440" s="295"/>
      <c r="H440" s="294">
        <f t="shared" ref="H440" si="200">H434*H439</f>
        <v>3474.4</v>
      </c>
      <c r="I440" s="295"/>
      <c r="J440" s="294">
        <f>J434*J439</f>
        <v>1934.7202744094252</v>
      </c>
      <c r="K440" s="295"/>
      <c r="L440" s="294">
        <f>L434*L439</f>
        <v>477.31585717337794</v>
      </c>
      <c r="M440" s="295"/>
      <c r="N440" s="294">
        <f t="shared" ref="N440" si="201">N434*N439</f>
        <v>0</v>
      </c>
      <c r="O440" s="295"/>
      <c r="P440" s="294">
        <f t="shared" ref="P440" si="202">P434*P439</f>
        <v>0</v>
      </c>
      <c r="Q440" s="295"/>
      <c r="R440" s="300"/>
      <c r="S440" s="301"/>
      <c r="T440" s="302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18"/>
      <c r="AF440" s="18"/>
      <c r="AG440" s="18"/>
      <c r="AH440" s="18"/>
      <c r="AI440" s="18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</row>
    <row r="441" spans="1:51">
      <c r="A441" s="8"/>
      <c r="B441" s="305" t="s">
        <v>229</v>
      </c>
      <c r="C441" s="306"/>
      <c r="D441" s="294">
        <f>F286</f>
        <v>1.25</v>
      </c>
      <c r="E441" s="295"/>
      <c r="F441" s="294">
        <f>F286</f>
        <v>1.25</v>
      </c>
      <c r="G441" s="295"/>
      <c r="H441" s="294">
        <f>H286</f>
        <v>1.35</v>
      </c>
      <c r="I441" s="295"/>
      <c r="J441" s="294">
        <f>K286</f>
        <v>1.5</v>
      </c>
      <c r="K441" s="295"/>
      <c r="L441" s="294">
        <f>K286</f>
        <v>1.5</v>
      </c>
      <c r="M441" s="295"/>
      <c r="N441" s="294">
        <f>J286</f>
        <v>0</v>
      </c>
      <c r="O441" s="295"/>
      <c r="P441" s="294">
        <f>J286</f>
        <v>0</v>
      </c>
      <c r="Q441" s="295"/>
      <c r="R441" s="297">
        <f>SUM(D442:Q442)</f>
        <v>22177.4761315828</v>
      </c>
      <c r="S441" s="298"/>
      <c r="T441" s="299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18"/>
      <c r="AF441" s="18"/>
      <c r="AG441" s="18"/>
      <c r="AH441" s="18"/>
      <c r="AI441" s="18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</row>
    <row r="442" spans="1:51">
      <c r="A442" s="8"/>
      <c r="B442" s="303" t="s">
        <v>205</v>
      </c>
      <c r="C442" s="304"/>
      <c r="D442" s="294">
        <f>D434*D441</f>
        <v>14606.249999999998</v>
      </c>
      <c r="E442" s="295"/>
      <c r="F442" s="294">
        <f t="shared" ref="F442" si="203">F434*F441</f>
        <v>468.75</v>
      </c>
      <c r="G442" s="295"/>
      <c r="H442" s="294">
        <f t="shared" ref="H442" si="204">H434*H441</f>
        <v>4690.4400000000005</v>
      </c>
      <c r="I442" s="295"/>
      <c r="J442" s="294">
        <f>J434*J441</f>
        <v>1934.7202744094252</v>
      </c>
      <c r="K442" s="295"/>
      <c r="L442" s="294">
        <f>L434*L441</f>
        <v>477.31585717337794</v>
      </c>
      <c r="M442" s="295"/>
      <c r="N442" s="294">
        <f t="shared" ref="N442" si="205">N434*N441</f>
        <v>0</v>
      </c>
      <c r="O442" s="295"/>
      <c r="P442" s="294">
        <f t="shared" ref="P442" si="206">P434*P441</f>
        <v>0</v>
      </c>
      <c r="Q442" s="295"/>
      <c r="R442" s="300"/>
      <c r="S442" s="301"/>
      <c r="T442" s="302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18"/>
      <c r="AF442" s="18"/>
      <c r="AG442" s="18"/>
      <c r="AH442" s="18"/>
      <c r="AI442" s="18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</row>
    <row r="443" spans="1:5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18"/>
      <c r="AF443" s="18"/>
      <c r="AG443" s="18"/>
      <c r="AH443" s="18"/>
      <c r="AI443" s="18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</row>
    <row r="444" spans="1:51" ht="15">
      <c r="A444" s="8"/>
      <c r="B444" s="275" t="s">
        <v>231</v>
      </c>
      <c r="C444" s="275"/>
      <c r="D444" s="275"/>
      <c r="E444" s="275"/>
      <c r="F444" s="275"/>
      <c r="G444" s="275"/>
      <c r="H444" s="275"/>
      <c r="I444" s="275"/>
      <c r="J444" s="275"/>
      <c r="K444" s="275"/>
      <c r="L444" s="275"/>
      <c r="M444" s="275"/>
      <c r="N444" s="275"/>
      <c r="O444" s="275"/>
      <c r="P444" s="275"/>
      <c r="Q444" s="275"/>
      <c r="R444" s="275"/>
      <c r="S444" s="275"/>
      <c r="T444" s="275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18"/>
      <c r="AF444" s="18"/>
      <c r="AG444" s="18"/>
      <c r="AH444" s="18"/>
      <c r="AI444" s="18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</row>
    <row r="445" spans="1:51">
      <c r="A445" s="8"/>
      <c r="B445" s="245" t="s">
        <v>165</v>
      </c>
      <c r="C445" s="245"/>
      <c r="D445" s="266" t="s">
        <v>168</v>
      </c>
      <c r="E445" s="274"/>
      <c r="F445" s="274"/>
      <c r="G445" s="274"/>
      <c r="H445" s="245" t="s">
        <v>142</v>
      </c>
      <c r="I445" s="245"/>
      <c r="J445" s="245" t="s">
        <v>170</v>
      </c>
      <c r="K445" s="245"/>
      <c r="L445" s="245"/>
      <c r="M445" s="245"/>
      <c r="N445" s="245" t="s">
        <v>172</v>
      </c>
      <c r="O445" s="245"/>
      <c r="P445" s="245"/>
      <c r="Q445" s="245"/>
      <c r="R445" s="247" t="s">
        <v>227</v>
      </c>
      <c r="S445" s="247"/>
      <c r="T445" s="247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18"/>
      <c r="AF445" s="18"/>
      <c r="AG445" s="18"/>
      <c r="AH445" s="18"/>
      <c r="AI445" s="18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</row>
    <row r="446" spans="1:51" ht="15">
      <c r="A446" s="8"/>
      <c r="B446" s="245" t="s">
        <v>164</v>
      </c>
      <c r="C446" s="245"/>
      <c r="D446" s="245" t="s">
        <v>219</v>
      </c>
      <c r="E446" s="245"/>
      <c r="F446" s="245" t="s">
        <v>220</v>
      </c>
      <c r="G446" s="245"/>
      <c r="H446" s="245" t="s">
        <v>142</v>
      </c>
      <c r="I446" s="245"/>
      <c r="J446" s="245" t="s">
        <v>221</v>
      </c>
      <c r="K446" s="245"/>
      <c r="L446" s="245" t="s">
        <v>222</v>
      </c>
      <c r="M446" s="245"/>
      <c r="N446" s="245" t="s">
        <v>224</v>
      </c>
      <c r="O446" s="245"/>
      <c r="P446" s="245" t="s">
        <v>225</v>
      </c>
      <c r="Q446" s="245"/>
      <c r="R446" s="247"/>
      <c r="S446" s="247"/>
      <c r="T446" s="247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18"/>
      <c r="AF446" s="18"/>
      <c r="AG446" s="18"/>
      <c r="AH446" s="18"/>
      <c r="AI446" s="18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</row>
    <row r="447" spans="1:51" ht="15">
      <c r="A447" s="8"/>
      <c r="B447" s="245" t="s">
        <v>232</v>
      </c>
      <c r="C447" s="245"/>
      <c r="D447" s="248">
        <f>K234</f>
        <v>16273.199999999997</v>
      </c>
      <c r="E447" s="245"/>
      <c r="F447" s="248">
        <f>+K235</f>
        <v>843.75</v>
      </c>
      <c r="G447" s="245"/>
      <c r="H447" s="248">
        <f>K238</f>
        <v>6054.6959999999999</v>
      </c>
      <c r="I447" s="245"/>
      <c r="J447" s="248">
        <f>K239</f>
        <v>3224.5337906823756</v>
      </c>
      <c r="K447" s="245"/>
      <c r="L447" s="248">
        <f>+K240</f>
        <v>795.52642862229663</v>
      </c>
      <c r="M447" s="245"/>
      <c r="N447" s="248">
        <f>K242</f>
        <v>1422</v>
      </c>
      <c r="O447" s="245"/>
      <c r="P447" s="248">
        <f>+K243</f>
        <v>1340.7272077047774</v>
      </c>
      <c r="Q447" s="245"/>
      <c r="R447" s="245" t="s">
        <v>233</v>
      </c>
      <c r="S447" s="245"/>
      <c r="T447" s="245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18"/>
      <c r="AF447" s="18"/>
      <c r="AG447" s="18"/>
      <c r="AH447" s="18"/>
      <c r="AI447" s="18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</row>
    <row r="448" spans="1:51">
      <c r="B448" s="293" t="s">
        <v>229</v>
      </c>
      <c r="C448" s="293"/>
      <c r="D448" s="294">
        <f>D435</f>
        <v>0.9</v>
      </c>
      <c r="E448" s="295"/>
      <c r="F448" s="294">
        <f t="shared" ref="F448:F454" si="207">F435</f>
        <v>0.9</v>
      </c>
      <c r="G448" s="295"/>
      <c r="H448" s="294">
        <f t="shared" ref="H448:H454" si="208">H435</f>
        <v>1</v>
      </c>
      <c r="I448" s="295"/>
      <c r="J448" s="294">
        <f t="shared" ref="J448:J454" si="209">J435</f>
        <v>1.5</v>
      </c>
      <c r="K448" s="295"/>
      <c r="L448" s="294">
        <f t="shared" ref="L448:L454" si="210">L435</f>
        <v>1.5</v>
      </c>
      <c r="M448" s="295"/>
      <c r="N448" s="294">
        <f t="shared" ref="N448:N454" si="211">N435</f>
        <v>0</v>
      </c>
      <c r="O448" s="295"/>
      <c r="P448" s="294">
        <f t="shared" ref="P448:P454" si="212">P435</f>
        <v>0</v>
      </c>
      <c r="Q448" s="295"/>
      <c r="R448" s="294">
        <f>SUM(D449:Q449)</f>
        <v>27490.041328957006</v>
      </c>
      <c r="S448" s="294"/>
      <c r="T448" s="294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18"/>
      <c r="AF448" s="18"/>
      <c r="AG448" s="18"/>
      <c r="AH448" s="18"/>
      <c r="AI448" s="18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</row>
    <row r="449" spans="1:51">
      <c r="B449" s="296" t="s">
        <v>202</v>
      </c>
      <c r="C449" s="296"/>
      <c r="D449" s="294">
        <f>D447*D448</f>
        <v>14645.879999999997</v>
      </c>
      <c r="E449" s="295"/>
      <c r="F449" s="294">
        <f t="shared" ref="F449" si="213">F447*F448</f>
        <v>759.375</v>
      </c>
      <c r="G449" s="295"/>
      <c r="H449" s="294">
        <f t="shared" ref="H449" si="214">H447*H448</f>
        <v>6054.6959999999999</v>
      </c>
      <c r="I449" s="295"/>
      <c r="J449" s="294">
        <f t="shared" ref="J449" si="215">J447*J448</f>
        <v>4836.8006860235637</v>
      </c>
      <c r="K449" s="295"/>
      <c r="L449" s="294">
        <f t="shared" ref="L449" si="216">L447*L448</f>
        <v>1193.2896429334451</v>
      </c>
      <c r="M449" s="295"/>
      <c r="N449" s="294">
        <f t="shared" ref="N449" si="217">N447*N448</f>
        <v>0</v>
      </c>
      <c r="O449" s="295"/>
      <c r="P449" s="294">
        <f t="shared" ref="P449" si="218">P447*P448</f>
        <v>0</v>
      </c>
      <c r="Q449" s="295"/>
      <c r="R449" s="294"/>
      <c r="S449" s="294"/>
      <c r="T449" s="294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18"/>
      <c r="AF449" s="18"/>
      <c r="AG449" s="18"/>
      <c r="AH449" s="18"/>
      <c r="AI449" s="18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</row>
    <row r="450" spans="1:51">
      <c r="B450" s="305" t="s">
        <v>229</v>
      </c>
      <c r="C450" s="306"/>
      <c r="D450" s="294">
        <f>D437</f>
        <v>1.25</v>
      </c>
      <c r="E450" s="295"/>
      <c r="F450" s="294">
        <f t="shared" si="207"/>
        <v>1.25</v>
      </c>
      <c r="G450" s="295"/>
      <c r="H450" s="294">
        <f t="shared" si="208"/>
        <v>1.35</v>
      </c>
      <c r="I450" s="295"/>
      <c r="J450" s="294">
        <f t="shared" si="209"/>
        <v>1.5</v>
      </c>
      <c r="K450" s="295"/>
      <c r="L450" s="294">
        <f t="shared" si="210"/>
        <v>1.5</v>
      </c>
      <c r="M450" s="295"/>
      <c r="N450" s="294">
        <f t="shared" si="211"/>
        <v>1.75</v>
      </c>
      <c r="O450" s="295"/>
      <c r="P450" s="294">
        <f t="shared" si="212"/>
        <v>1.75</v>
      </c>
      <c r="Q450" s="295"/>
      <c r="R450" s="297">
        <f>SUM(D451:Q451)</f>
        <v>40434.890042440362</v>
      </c>
      <c r="S450" s="298"/>
      <c r="T450" s="299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18"/>
      <c r="AF450" s="18"/>
      <c r="AG450" s="18"/>
      <c r="AH450" s="18"/>
      <c r="AI450" s="18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</row>
    <row r="451" spans="1:51">
      <c r="B451" s="303" t="s">
        <v>203</v>
      </c>
      <c r="C451" s="304"/>
      <c r="D451" s="294">
        <f>D447*D450</f>
        <v>20341.499999999996</v>
      </c>
      <c r="E451" s="295"/>
      <c r="F451" s="294">
        <f t="shared" ref="F451" si="219">F447*F450</f>
        <v>1054.6875</v>
      </c>
      <c r="G451" s="295"/>
      <c r="H451" s="294">
        <f t="shared" ref="H451" si="220">H447*H450</f>
        <v>8173.8396000000002</v>
      </c>
      <c r="I451" s="295"/>
      <c r="J451" s="294">
        <f t="shared" ref="J451" si="221">J447*J450</f>
        <v>4836.8006860235637</v>
      </c>
      <c r="K451" s="295"/>
      <c r="L451" s="294">
        <f t="shared" ref="L451" si="222">L447*L450</f>
        <v>1193.2896429334451</v>
      </c>
      <c r="M451" s="295"/>
      <c r="N451" s="294">
        <f t="shared" ref="N451" si="223">N447*N450</f>
        <v>2488.5</v>
      </c>
      <c r="O451" s="295"/>
      <c r="P451" s="294">
        <f t="shared" ref="P451" si="224">P447*P450</f>
        <v>2346.2726134833601</v>
      </c>
      <c r="Q451" s="295"/>
      <c r="R451" s="300"/>
      <c r="S451" s="301"/>
      <c r="T451" s="302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18"/>
      <c r="AF451" s="18"/>
      <c r="AG451" s="18"/>
      <c r="AH451" s="18"/>
      <c r="AI451" s="18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</row>
    <row r="452" spans="1:51">
      <c r="B452" s="305" t="s">
        <v>229</v>
      </c>
      <c r="C452" s="306"/>
      <c r="D452" s="294">
        <f>D439</f>
        <v>0.9</v>
      </c>
      <c r="E452" s="295"/>
      <c r="F452" s="294">
        <f t="shared" si="207"/>
        <v>0.9</v>
      </c>
      <c r="G452" s="295"/>
      <c r="H452" s="294">
        <f t="shared" si="208"/>
        <v>1</v>
      </c>
      <c r="I452" s="295"/>
      <c r="J452" s="294">
        <f t="shared" si="209"/>
        <v>1.5</v>
      </c>
      <c r="K452" s="295"/>
      <c r="L452" s="294">
        <f t="shared" si="210"/>
        <v>1.5</v>
      </c>
      <c r="M452" s="295"/>
      <c r="N452" s="294">
        <f t="shared" si="211"/>
        <v>0</v>
      </c>
      <c r="O452" s="295"/>
      <c r="P452" s="294">
        <f t="shared" si="212"/>
        <v>0</v>
      </c>
      <c r="Q452" s="295"/>
      <c r="R452" s="297">
        <f>SUM(D453:Q453)</f>
        <v>27490.041328957006</v>
      </c>
      <c r="S452" s="298"/>
      <c r="T452" s="299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18"/>
      <c r="AF452" s="18"/>
      <c r="AG452" s="18"/>
      <c r="AH452" s="18"/>
      <c r="AI452" s="18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</row>
    <row r="453" spans="1:51">
      <c r="B453" s="303" t="s">
        <v>204</v>
      </c>
      <c r="C453" s="304"/>
      <c r="D453" s="294">
        <f>D447*D452</f>
        <v>14645.879999999997</v>
      </c>
      <c r="E453" s="295"/>
      <c r="F453" s="294">
        <f t="shared" ref="F453" si="225">F447*F452</f>
        <v>759.375</v>
      </c>
      <c r="G453" s="295"/>
      <c r="H453" s="294">
        <f t="shared" ref="H453" si="226">H447*H452</f>
        <v>6054.6959999999999</v>
      </c>
      <c r="I453" s="295"/>
      <c r="J453" s="294">
        <f t="shared" ref="J453" si="227">J447*J452</f>
        <v>4836.8006860235637</v>
      </c>
      <c r="K453" s="295"/>
      <c r="L453" s="294">
        <f t="shared" ref="L453" si="228">L447*L452</f>
        <v>1193.2896429334451</v>
      </c>
      <c r="M453" s="295"/>
      <c r="N453" s="294">
        <f t="shared" ref="N453" si="229">N447*N452</f>
        <v>0</v>
      </c>
      <c r="O453" s="295"/>
      <c r="P453" s="294">
        <f t="shared" ref="P453" si="230">P447*P452</f>
        <v>0</v>
      </c>
      <c r="Q453" s="295"/>
      <c r="R453" s="300"/>
      <c r="S453" s="301"/>
      <c r="T453" s="302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18"/>
      <c r="AF453" s="18"/>
      <c r="AG453" s="18"/>
      <c r="AH453" s="18"/>
      <c r="AI453" s="18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</row>
    <row r="454" spans="1:51">
      <c r="B454" s="305" t="s">
        <v>229</v>
      </c>
      <c r="C454" s="306"/>
      <c r="D454" s="294">
        <f>D441</f>
        <v>1.25</v>
      </c>
      <c r="E454" s="295"/>
      <c r="F454" s="294">
        <f t="shared" si="207"/>
        <v>1.25</v>
      </c>
      <c r="G454" s="295"/>
      <c r="H454" s="294">
        <f t="shared" si="208"/>
        <v>1.35</v>
      </c>
      <c r="I454" s="295"/>
      <c r="J454" s="294">
        <f t="shared" si="209"/>
        <v>1.5</v>
      </c>
      <c r="K454" s="295"/>
      <c r="L454" s="294">
        <f t="shared" si="210"/>
        <v>1.5</v>
      </c>
      <c r="M454" s="295"/>
      <c r="N454" s="294">
        <f t="shared" si="211"/>
        <v>0</v>
      </c>
      <c r="O454" s="295"/>
      <c r="P454" s="294">
        <f t="shared" si="212"/>
        <v>0</v>
      </c>
      <c r="Q454" s="295"/>
      <c r="R454" s="297">
        <f>SUM(D455:Q455)</f>
        <v>35600.117428957004</v>
      </c>
      <c r="S454" s="298"/>
      <c r="T454" s="299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18"/>
      <c r="AF454" s="18"/>
      <c r="AG454" s="18"/>
      <c r="AH454" s="18"/>
      <c r="AI454" s="18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</row>
    <row r="455" spans="1:51">
      <c r="B455" s="303" t="s">
        <v>205</v>
      </c>
      <c r="C455" s="304"/>
      <c r="D455" s="294">
        <f>D447*D454</f>
        <v>20341.499999999996</v>
      </c>
      <c r="E455" s="295"/>
      <c r="F455" s="294">
        <f t="shared" ref="F455" si="231">F447*F454</f>
        <v>1054.6875</v>
      </c>
      <c r="G455" s="295"/>
      <c r="H455" s="294">
        <f t="shared" ref="H455" si="232">H447*H454</f>
        <v>8173.8396000000002</v>
      </c>
      <c r="I455" s="295"/>
      <c r="J455" s="294">
        <f t="shared" ref="J455" si="233">J447*J454</f>
        <v>4836.8006860235637</v>
      </c>
      <c r="K455" s="295"/>
      <c r="L455" s="294">
        <f t="shared" ref="L455" si="234">L447*L454</f>
        <v>1193.2896429334451</v>
      </c>
      <c r="M455" s="295"/>
      <c r="N455" s="294">
        <f t="shared" ref="N455" si="235">N447*N454</f>
        <v>0</v>
      </c>
      <c r="O455" s="295"/>
      <c r="P455" s="294">
        <f t="shared" ref="P455" si="236">P447*P454</f>
        <v>0</v>
      </c>
      <c r="Q455" s="295"/>
      <c r="R455" s="300"/>
      <c r="S455" s="301"/>
      <c r="T455" s="302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18"/>
      <c r="AF455" s="18"/>
      <c r="AG455" s="18"/>
      <c r="AH455" s="18"/>
      <c r="AI455" s="18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</row>
    <row r="456" spans="1:5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18"/>
      <c r="AF456" s="18"/>
      <c r="AG456" s="18"/>
      <c r="AH456" s="18"/>
      <c r="AI456" s="18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</row>
    <row r="457" spans="1:51">
      <c r="A457" s="8"/>
      <c r="B457" s="51" t="s">
        <v>262</v>
      </c>
      <c r="C457" s="52" t="s">
        <v>297</v>
      </c>
      <c r="D457" s="20"/>
      <c r="E457" s="20"/>
      <c r="F457" s="20"/>
      <c r="G457" s="20"/>
      <c r="H457" s="20"/>
      <c r="I457" s="20"/>
      <c r="J457" s="20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18"/>
      <c r="AF457" s="18"/>
      <c r="AG457" s="18"/>
      <c r="AH457" s="18"/>
      <c r="AI457" s="18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</row>
    <row r="458" spans="1:51" ht="15">
      <c r="A458" s="8"/>
      <c r="B458" s="275" t="s">
        <v>234</v>
      </c>
      <c r="C458" s="275"/>
      <c r="D458" s="275"/>
      <c r="E458" s="275"/>
      <c r="F458" s="275"/>
      <c r="G458" s="275"/>
      <c r="H458" s="275"/>
      <c r="I458" s="275"/>
      <c r="J458" s="275"/>
      <c r="K458" s="275"/>
      <c r="L458" s="275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18"/>
      <c r="AF458" s="18"/>
      <c r="AG458" s="18"/>
      <c r="AH458" s="18"/>
      <c r="AI458" s="18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</row>
    <row r="459" spans="1:51">
      <c r="A459" s="8"/>
      <c r="B459" s="266" t="s">
        <v>165</v>
      </c>
      <c r="C459" s="267"/>
      <c r="D459" s="266" t="s">
        <v>170</v>
      </c>
      <c r="E459" s="274"/>
      <c r="F459" s="274"/>
      <c r="G459" s="267"/>
      <c r="H459" s="266" t="s">
        <v>172</v>
      </c>
      <c r="I459" s="267"/>
      <c r="J459" s="268" t="s">
        <v>227</v>
      </c>
      <c r="K459" s="269"/>
      <c r="L459" s="270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18"/>
      <c r="AF459" s="18"/>
      <c r="AG459" s="18"/>
      <c r="AH459" s="18"/>
      <c r="AI459" s="18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</row>
    <row r="460" spans="1:51" ht="15">
      <c r="A460" s="8"/>
      <c r="B460" s="266" t="s">
        <v>164</v>
      </c>
      <c r="C460" s="267"/>
      <c r="D460" s="266" t="s">
        <v>235</v>
      </c>
      <c r="E460" s="267"/>
      <c r="F460" s="266" t="s">
        <v>236</v>
      </c>
      <c r="G460" s="267"/>
      <c r="H460" s="266" t="s">
        <v>237</v>
      </c>
      <c r="I460" s="267"/>
      <c r="J460" s="271"/>
      <c r="K460" s="272"/>
      <c r="L460" s="273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18"/>
      <c r="AF460" s="18"/>
      <c r="AG460" s="18"/>
      <c r="AH460" s="18"/>
      <c r="AI460" s="18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</row>
    <row r="461" spans="1:51" ht="15">
      <c r="A461" s="8"/>
      <c r="B461" s="266" t="s">
        <v>189</v>
      </c>
      <c r="C461" s="267"/>
      <c r="D461" s="264">
        <f>G270</f>
        <v>2896.9685890277501</v>
      </c>
      <c r="E461" s="265"/>
      <c r="F461" s="264">
        <f>G271</f>
        <v>714.71264531934617</v>
      </c>
      <c r="G461" s="265"/>
      <c r="H461" s="264">
        <f>+G272</f>
        <v>1204.5290449115384</v>
      </c>
      <c r="I461" s="265"/>
      <c r="J461" s="266" t="s">
        <v>239</v>
      </c>
      <c r="K461" s="274"/>
      <c r="L461" s="267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18"/>
      <c r="AF461" s="18"/>
      <c r="AG461" s="18"/>
      <c r="AH461" s="18"/>
      <c r="AI461" s="18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</row>
    <row r="462" spans="1:51">
      <c r="A462" s="8"/>
      <c r="B462" s="257" t="s">
        <v>229</v>
      </c>
      <c r="C462" s="258"/>
      <c r="D462" s="276">
        <f>K283</f>
        <v>1.5</v>
      </c>
      <c r="E462" s="201"/>
      <c r="F462" s="276">
        <f>+K283</f>
        <v>1.5</v>
      </c>
      <c r="G462" s="201"/>
      <c r="H462" s="276">
        <f>L283</f>
        <v>1.75</v>
      </c>
      <c r="I462" s="201"/>
      <c r="J462" s="250">
        <f t="shared" ref="J462" si="237">SUM(D463:I463)</f>
        <v>7525.4476801158362</v>
      </c>
      <c r="K462" s="251"/>
      <c r="L462" s="252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18"/>
      <c r="AF462" s="18"/>
      <c r="AG462" s="18"/>
      <c r="AH462" s="18"/>
      <c r="AI462" s="18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</row>
    <row r="463" spans="1:51">
      <c r="A463" s="8"/>
      <c r="B463" s="259" t="s">
        <v>202</v>
      </c>
      <c r="C463" s="260"/>
      <c r="D463" s="276">
        <f>D462*D461</f>
        <v>4345.4528835416249</v>
      </c>
      <c r="E463" s="201"/>
      <c r="F463" s="276">
        <f t="shared" ref="F463" si="238">F462*F461</f>
        <v>1072.0689679790194</v>
      </c>
      <c r="G463" s="201"/>
      <c r="H463" s="276">
        <f t="shared" ref="H463" si="239">H462*H461</f>
        <v>2107.9258285951923</v>
      </c>
      <c r="I463" s="201"/>
      <c r="J463" s="253"/>
      <c r="K463" s="254"/>
      <c r="L463" s="255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18"/>
      <c r="AF463" s="18"/>
      <c r="AG463" s="18"/>
      <c r="AH463" s="18"/>
      <c r="AI463" s="18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</row>
    <row r="464" spans="1:51">
      <c r="A464" s="8"/>
      <c r="B464" s="257" t="s">
        <v>229</v>
      </c>
      <c r="C464" s="258"/>
      <c r="D464" s="276">
        <f>K284</f>
        <v>1.5</v>
      </c>
      <c r="E464" s="201"/>
      <c r="F464" s="276">
        <f>+K284</f>
        <v>1.5</v>
      </c>
      <c r="G464" s="201"/>
      <c r="H464" s="276">
        <f>L284</f>
        <v>1.75</v>
      </c>
      <c r="I464" s="201"/>
      <c r="J464" s="250">
        <f t="shared" ref="J464" si="240">SUM(D465:I465)</f>
        <v>7525.4476801158362</v>
      </c>
      <c r="K464" s="251"/>
      <c r="L464" s="252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18"/>
      <c r="AF464" s="18"/>
      <c r="AG464" s="18"/>
      <c r="AH464" s="18"/>
      <c r="AI464" s="18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</row>
    <row r="465" spans="1:50">
      <c r="A465" s="8"/>
      <c r="B465" s="259" t="s">
        <v>203</v>
      </c>
      <c r="C465" s="260"/>
      <c r="D465" s="276">
        <f>D464*D461</f>
        <v>4345.4528835416249</v>
      </c>
      <c r="E465" s="201"/>
      <c r="F465" s="276">
        <f t="shared" ref="F465" si="241">F464*F461</f>
        <v>1072.0689679790194</v>
      </c>
      <c r="G465" s="201"/>
      <c r="H465" s="276">
        <f t="shared" ref="H465" si="242">H464*H461</f>
        <v>2107.9258285951923</v>
      </c>
      <c r="I465" s="201"/>
      <c r="J465" s="253"/>
      <c r="K465" s="254"/>
      <c r="L465" s="255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18"/>
      <c r="AF465" s="18"/>
      <c r="AG465" s="18"/>
      <c r="AH465" s="18"/>
      <c r="AI465" s="18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</row>
    <row r="466" spans="1:50">
      <c r="A466" s="8"/>
      <c r="B466" s="257" t="s">
        <v>229</v>
      </c>
      <c r="C466" s="258"/>
      <c r="D466" s="276">
        <f>K285</f>
        <v>1.5</v>
      </c>
      <c r="E466" s="201"/>
      <c r="F466" s="276">
        <f>+K285</f>
        <v>1.5</v>
      </c>
      <c r="G466" s="201"/>
      <c r="H466" s="276">
        <f>L285</f>
        <v>0</v>
      </c>
      <c r="I466" s="201"/>
      <c r="J466" s="250">
        <f t="shared" ref="J466" si="243">SUM(D467:I467)</f>
        <v>5417.5218515206443</v>
      </c>
      <c r="K466" s="251"/>
      <c r="L466" s="252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18"/>
      <c r="AF466" s="18"/>
      <c r="AG466" s="18"/>
      <c r="AH466" s="18"/>
      <c r="AI466" s="18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</row>
    <row r="467" spans="1:50">
      <c r="A467" s="8"/>
      <c r="B467" s="259" t="s">
        <v>204</v>
      </c>
      <c r="C467" s="260"/>
      <c r="D467" s="276">
        <f>D466*D461</f>
        <v>4345.4528835416249</v>
      </c>
      <c r="E467" s="201"/>
      <c r="F467" s="276">
        <f t="shared" ref="F467" si="244">F466*F461</f>
        <v>1072.0689679790194</v>
      </c>
      <c r="G467" s="201"/>
      <c r="H467" s="276">
        <f t="shared" ref="H467" si="245">H466*H461</f>
        <v>0</v>
      </c>
      <c r="I467" s="201"/>
      <c r="J467" s="253"/>
      <c r="K467" s="254"/>
      <c r="L467" s="255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18"/>
      <c r="AF467" s="18"/>
      <c r="AG467" s="18"/>
      <c r="AH467" s="18"/>
      <c r="AI467" s="18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</row>
    <row r="468" spans="1:50">
      <c r="A468" s="8"/>
      <c r="B468" s="257" t="s">
        <v>229</v>
      </c>
      <c r="C468" s="258"/>
      <c r="D468" s="276">
        <f>K286</f>
        <v>1.5</v>
      </c>
      <c r="E468" s="201"/>
      <c r="F468" s="276">
        <f>+K286</f>
        <v>1.5</v>
      </c>
      <c r="G468" s="201"/>
      <c r="H468" s="276">
        <f>L286</f>
        <v>0</v>
      </c>
      <c r="I468" s="201"/>
      <c r="J468" s="250">
        <f>SUM(D469:I469)</f>
        <v>5417.5218515206443</v>
      </c>
      <c r="K468" s="251"/>
      <c r="L468" s="252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18"/>
      <c r="AF468" s="18"/>
      <c r="AG468" s="18"/>
      <c r="AH468" s="18"/>
      <c r="AI468" s="18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  <c r="AV468" s="54"/>
      <c r="AW468" s="54"/>
      <c r="AX468" s="54"/>
    </row>
    <row r="469" spans="1:50">
      <c r="A469" s="8"/>
      <c r="B469" s="259" t="s">
        <v>205</v>
      </c>
      <c r="C469" s="260"/>
      <c r="D469" s="276">
        <f>D468*D461</f>
        <v>4345.4528835416249</v>
      </c>
      <c r="E469" s="201"/>
      <c r="F469" s="276">
        <f t="shared" ref="F469" si="246">F468*F461</f>
        <v>1072.0689679790194</v>
      </c>
      <c r="G469" s="201"/>
      <c r="H469" s="276">
        <f t="shared" ref="H469" si="247">H468*H461</f>
        <v>0</v>
      </c>
      <c r="I469" s="201"/>
      <c r="J469" s="253"/>
      <c r="K469" s="254"/>
      <c r="L469" s="255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18"/>
      <c r="AF469" s="18"/>
      <c r="AG469" s="18"/>
      <c r="AH469" s="18"/>
      <c r="AI469" s="18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54"/>
      <c r="AW469" s="54"/>
      <c r="AX469" s="54"/>
    </row>
    <row r="470" spans="1:5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18"/>
      <c r="AF470" s="18"/>
      <c r="AG470" s="18"/>
      <c r="AH470" s="18"/>
      <c r="AI470" s="18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</row>
    <row r="471" spans="1:50" ht="15">
      <c r="A471" s="8"/>
      <c r="B471" s="275" t="s">
        <v>238</v>
      </c>
      <c r="C471" s="275"/>
      <c r="D471" s="275"/>
      <c r="E471" s="275"/>
      <c r="F471" s="275"/>
      <c r="G471" s="275"/>
      <c r="H471" s="275"/>
      <c r="I471" s="275"/>
      <c r="J471" s="275"/>
      <c r="K471" s="275"/>
      <c r="L471" s="275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18"/>
      <c r="AF471" s="18"/>
      <c r="AG471" s="18"/>
      <c r="AH471" s="18"/>
      <c r="AI471" s="18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</row>
    <row r="472" spans="1:50">
      <c r="A472" s="8"/>
      <c r="B472" s="266" t="s">
        <v>165</v>
      </c>
      <c r="C472" s="267"/>
      <c r="D472" s="266" t="s">
        <v>170</v>
      </c>
      <c r="E472" s="274"/>
      <c r="F472" s="274"/>
      <c r="G472" s="267"/>
      <c r="H472" s="266" t="s">
        <v>172</v>
      </c>
      <c r="I472" s="267"/>
      <c r="J472" s="268" t="s">
        <v>227</v>
      </c>
      <c r="K472" s="269"/>
      <c r="L472" s="270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18"/>
      <c r="AF472" s="18"/>
      <c r="AG472" s="18"/>
      <c r="AH472" s="18"/>
      <c r="AI472" s="18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</row>
    <row r="473" spans="1:50" ht="15">
      <c r="A473" s="8"/>
      <c r="B473" s="266" t="s">
        <v>164</v>
      </c>
      <c r="C473" s="267"/>
      <c r="D473" s="266" t="s">
        <v>235</v>
      </c>
      <c r="E473" s="267"/>
      <c r="F473" s="266" t="s">
        <v>236</v>
      </c>
      <c r="G473" s="267"/>
      <c r="H473" s="266" t="s">
        <v>237</v>
      </c>
      <c r="I473" s="267"/>
      <c r="J473" s="271"/>
      <c r="K473" s="272"/>
      <c r="L473" s="273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18"/>
      <c r="AF473" s="18"/>
      <c r="AG473" s="18"/>
      <c r="AH473" s="18"/>
      <c r="AI473" s="18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</row>
    <row r="474" spans="1:50" ht="15">
      <c r="A474" s="8"/>
      <c r="B474" s="245" t="s">
        <v>241</v>
      </c>
      <c r="C474" s="245"/>
      <c r="D474" s="264">
        <f>K270</f>
        <v>3669.4935461018167</v>
      </c>
      <c r="E474" s="265"/>
      <c r="F474" s="264">
        <f>+K271</f>
        <v>1357.9540261067577</v>
      </c>
      <c r="G474" s="265"/>
      <c r="H474" s="264">
        <f>K272</f>
        <v>2288.6051853319232</v>
      </c>
      <c r="I474" s="265"/>
      <c r="J474" s="266" t="s">
        <v>240</v>
      </c>
      <c r="K474" s="274"/>
      <c r="L474" s="267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18"/>
      <c r="AF474" s="18"/>
      <c r="AG474" s="18"/>
      <c r="AH474" s="18"/>
      <c r="AI474" s="18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  <c r="AV474" s="54"/>
      <c r="AW474" s="54"/>
      <c r="AX474" s="54"/>
    </row>
    <row r="475" spans="1:50">
      <c r="A475" s="8"/>
      <c r="B475" s="257" t="s">
        <v>229</v>
      </c>
      <c r="C475" s="258"/>
      <c r="D475" s="276">
        <f>D462</f>
        <v>1.5</v>
      </c>
      <c r="E475" s="201"/>
      <c r="F475" s="276">
        <f t="shared" ref="F475" si="248">F462</f>
        <v>1.5</v>
      </c>
      <c r="G475" s="201"/>
      <c r="H475" s="276">
        <f t="shared" ref="H475" si="249">H462</f>
        <v>1.75</v>
      </c>
      <c r="I475" s="201"/>
      <c r="J475" s="250">
        <f>SUM(D476:I476)</f>
        <v>11546.230432643726</v>
      </c>
      <c r="K475" s="251"/>
      <c r="L475" s="252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18"/>
      <c r="AF475" s="18"/>
      <c r="AG475" s="18"/>
      <c r="AH475" s="18"/>
      <c r="AI475" s="18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54"/>
      <c r="AW475" s="54"/>
      <c r="AX475" s="54"/>
    </row>
    <row r="476" spans="1:50">
      <c r="A476" s="8"/>
      <c r="B476" s="259" t="s">
        <v>202</v>
      </c>
      <c r="C476" s="260"/>
      <c r="D476" s="276">
        <f>D475*D474</f>
        <v>5504.2403191527246</v>
      </c>
      <c r="E476" s="201"/>
      <c r="F476" s="276">
        <f t="shared" ref="F476" si="250">F475*F474</f>
        <v>2036.9310391601366</v>
      </c>
      <c r="G476" s="201"/>
      <c r="H476" s="276">
        <f t="shared" ref="H476" si="251">H475*H474</f>
        <v>4005.0590743308658</v>
      </c>
      <c r="I476" s="201"/>
      <c r="J476" s="253"/>
      <c r="K476" s="254"/>
      <c r="L476" s="255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18"/>
      <c r="AF476" s="18"/>
      <c r="AG476" s="18"/>
      <c r="AH476" s="18"/>
      <c r="AI476" s="18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</row>
    <row r="477" spans="1:50">
      <c r="A477" s="8"/>
      <c r="B477" s="257" t="s">
        <v>229</v>
      </c>
      <c r="C477" s="258"/>
      <c r="D477" s="276">
        <f>D464</f>
        <v>1.5</v>
      </c>
      <c r="E477" s="201"/>
      <c r="F477" s="276">
        <f t="shared" ref="F477" si="252">F464</f>
        <v>1.5</v>
      </c>
      <c r="G477" s="201"/>
      <c r="H477" s="276">
        <f t="shared" ref="H477" si="253">H464</f>
        <v>1.75</v>
      </c>
      <c r="I477" s="201"/>
      <c r="J477" s="250">
        <f t="shared" ref="J477" si="254">SUM(D478:I478)</f>
        <v>11546.230432643726</v>
      </c>
      <c r="K477" s="251"/>
      <c r="L477" s="252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18"/>
      <c r="AF477" s="18"/>
      <c r="AG477" s="18"/>
      <c r="AH477" s="18"/>
      <c r="AI477" s="18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  <c r="AV477" s="54"/>
      <c r="AW477" s="54"/>
      <c r="AX477" s="54"/>
    </row>
    <row r="478" spans="1:50">
      <c r="A478" s="8"/>
      <c r="B478" s="259" t="s">
        <v>203</v>
      </c>
      <c r="C478" s="260"/>
      <c r="D478" s="276">
        <f>D477*D474</f>
        <v>5504.2403191527246</v>
      </c>
      <c r="E478" s="201"/>
      <c r="F478" s="276">
        <f t="shared" ref="F478" si="255">F477*F474</f>
        <v>2036.9310391601366</v>
      </c>
      <c r="G478" s="201"/>
      <c r="H478" s="276">
        <f t="shared" ref="H478" si="256">H477*H474</f>
        <v>4005.0590743308658</v>
      </c>
      <c r="I478" s="201"/>
      <c r="J478" s="253"/>
      <c r="K478" s="254"/>
      <c r="L478" s="255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18"/>
      <c r="AF478" s="18"/>
      <c r="AG478" s="18"/>
      <c r="AH478" s="18"/>
      <c r="AI478" s="18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</row>
    <row r="479" spans="1:50">
      <c r="A479" s="8"/>
      <c r="B479" s="257" t="s">
        <v>229</v>
      </c>
      <c r="C479" s="258"/>
      <c r="D479" s="276">
        <f>D466</f>
        <v>1.5</v>
      </c>
      <c r="E479" s="201"/>
      <c r="F479" s="276">
        <f t="shared" ref="F479" si="257">F466</f>
        <v>1.5</v>
      </c>
      <c r="G479" s="201"/>
      <c r="H479" s="276">
        <f t="shared" ref="H479" si="258">H466</f>
        <v>0</v>
      </c>
      <c r="I479" s="201"/>
      <c r="J479" s="250">
        <f t="shared" ref="J479" si="259">SUM(D480:I480)</f>
        <v>7541.1713583128612</v>
      </c>
      <c r="K479" s="251"/>
      <c r="L479" s="252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18"/>
      <c r="AF479" s="18"/>
      <c r="AG479" s="18"/>
      <c r="AH479" s="18"/>
      <c r="AI479" s="18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</row>
    <row r="480" spans="1:50">
      <c r="A480" s="8"/>
      <c r="B480" s="259" t="s">
        <v>204</v>
      </c>
      <c r="C480" s="260"/>
      <c r="D480" s="276">
        <f>D479*D474</f>
        <v>5504.2403191527246</v>
      </c>
      <c r="E480" s="201"/>
      <c r="F480" s="276">
        <f t="shared" ref="F480" si="260">F479*F474</f>
        <v>2036.9310391601366</v>
      </c>
      <c r="G480" s="201"/>
      <c r="H480" s="276">
        <f t="shared" ref="H480" si="261">H479*H474</f>
        <v>0</v>
      </c>
      <c r="I480" s="201"/>
      <c r="J480" s="253"/>
      <c r="K480" s="254"/>
      <c r="L480" s="255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18"/>
      <c r="AF480" s="18"/>
      <c r="AG480" s="18"/>
      <c r="AH480" s="18"/>
      <c r="AI480" s="18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</row>
    <row r="481" spans="1:50">
      <c r="A481" s="8"/>
      <c r="B481" s="257" t="s">
        <v>229</v>
      </c>
      <c r="C481" s="258"/>
      <c r="D481" s="276">
        <f>D468</f>
        <v>1.5</v>
      </c>
      <c r="E481" s="201"/>
      <c r="F481" s="276">
        <f t="shared" ref="F481" si="262">F468</f>
        <v>1.5</v>
      </c>
      <c r="G481" s="201"/>
      <c r="H481" s="276">
        <f t="shared" ref="H481" si="263">H468</f>
        <v>0</v>
      </c>
      <c r="I481" s="201"/>
      <c r="J481" s="250">
        <f t="shared" ref="J481" si="264">SUM(D482:I482)</f>
        <v>7541.1713583128612</v>
      </c>
      <c r="K481" s="251"/>
      <c r="L481" s="252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18"/>
      <c r="AF481" s="18"/>
      <c r="AG481" s="18"/>
      <c r="AH481" s="18"/>
      <c r="AI481" s="18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</row>
    <row r="482" spans="1:50">
      <c r="A482" s="8"/>
      <c r="B482" s="259" t="s">
        <v>205</v>
      </c>
      <c r="C482" s="260"/>
      <c r="D482" s="276">
        <f>D481*D474</f>
        <v>5504.2403191527246</v>
      </c>
      <c r="E482" s="201"/>
      <c r="F482" s="276">
        <f t="shared" ref="F482" si="265">F481*F474</f>
        <v>2036.9310391601366</v>
      </c>
      <c r="G482" s="201"/>
      <c r="H482" s="276">
        <f t="shared" ref="H482" si="266">H481*H474</f>
        <v>0</v>
      </c>
      <c r="I482" s="201"/>
      <c r="J482" s="253"/>
      <c r="K482" s="254"/>
      <c r="L482" s="255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18"/>
      <c r="AF482" s="18"/>
      <c r="AG482" s="18"/>
      <c r="AH482" s="18"/>
      <c r="AI482" s="18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</row>
    <row r="483" spans="1:50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18"/>
      <c r="AF483" s="18"/>
      <c r="AG483" s="18"/>
      <c r="AH483" s="18"/>
      <c r="AI483" s="18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</row>
    <row r="484" spans="1:50">
      <c r="A484" s="8"/>
      <c r="B484" s="51" t="s">
        <v>278</v>
      </c>
      <c r="C484" s="52" t="s">
        <v>243</v>
      </c>
      <c r="D484" s="20"/>
      <c r="E484" s="20"/>
      <c r="F484" s="20"/>
      <c r="G484" s="20"/>
      <c r="H484" s="20"/>
      <c r="I484" s="20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18"/>
      <c r="AF484" s="18"/>
      <c r="AG484" s="18"/>
      <c r="AH484" s="18"/>
      <c r="AI484" s="18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</row>
    <row r="485" spans="1:50">
      <c r="A485" s="8"/>
      <c r="B485" s="108"/>
      <c r="C485" s="108" t="s">
        <v>260</v>
      </c>
      <c r="D485" s="19" t="s">
        <v>261</v>
      </c>
      <c r="E485" s="20"/>
      <c r="F485" s="20"/>
      <c r="G485" s="20"/>
      <c r="H485" s="20"/>
      <c r="I485" s="20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18"/>
      <c r="AF485" s="18"/>
      <c r="AG485" s="18"/>
      <c r="AH485" s="18"/>
      <c r="AI485" s="18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</row>
    <row r="486" spans="1:50" ht="11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18"/>
      <c r="AF486" s="18"/>
      <c r="AG486" s="18"/>
      <c r="AH486" s="18"/>
      <c r="AI486" s="18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</row>
    <row r="487" spans="1:50" ht="15">
      <c r="A487" s="8"/>
      <c r="B487" s="8"/>
      <c r="C487" s="179" t="s">
        <v>257</v>
      </c>
      <c r="D487" s="179"/>
      <c r="E487" s="179"/>
      <c r="F487" s="282" t="s">
        <v>277</v>
      </c>
      <c r="G487" s="282"/>
      <c r="H487" s="284" t="s">
        <v>286</v>
      </c>
      <c r="I487" s="285"/>
      <c r="J487" s="284" t="s">
        <v>287</v>
      </c>
      <c r="K487" s="285"/>
      <c r="L487" s="179"/>
      <c r="M487" s="179"/>
      <c r="N487" s="179"/>
      <c r="O487" s="179"/>
      <c r="P487" s="179"/>
      <c r="Q487" s="179"/>
      <c r="R487" s="179"/>
      <c r="S487" s="179"/>
      <c r="T487" s="179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18"/>
      <c r="AF487" s="18"/>
      <c r="AG487" s="18"/>
      <c r="AH487" s="18"/>
      <c r="AI487" s="18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  <c r="AX487" s="54"/>
    </row>
    <row r="488" spans="1:50">
      <c r="A488" s="8"/>
      <c r="B488" s="8"/>
      <c r="C488" s="179"/>
      <c r="D488" s="179"/>
      <c r="E488" s="179"/>
      <c r="F488" s="283" t="s">
        <v>258</v>
      </c>
      <c r="G488" s="283"/>
      <c r="H488" s="283" t="s">
        <v>259</v>
      </c>
      <c r="I488" s="283"/>
      <c r="J488" s="283" t="s">
        <v>259</v>
      </c>
      <c r="K488" s="283"/>
      <c r="L488" s="179"/>
      <c r="M488" s="179"/>
      <c r="N488" s="179"/>
      <c r="O488" s="179"/>
      <c r="P488" s="179"/>
      <c r="Q488" s="179"/>
      <c r="R488" s="179"/>
      <c r="S488" s="179"/>
      <c r="T488" s="179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18"/>
      <c r="AF488" s="18"/>
      <c r="AG488" s="18"/>
      <c r="AH488" s="18"/>
      <c r="AI488" s="18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</row>
    <row r="489" spans="1:50">
      <c r="A489" s="8"/>
      <c r="B489" s="8"/>
      <c r="C489" s="245" t="s">
        <v>202</v>
      </c>
      <c r="D489" s="245"/>
      <c r="E489" s="245"/>
      <c r="F489" s="276">
        <f>R435</f>
        <v>16740.436131582799</v>
      </c>
      <c r="G489" s="201"/>
      <c r="H489" s="276">
        <f>R448</f>
        <v>27490.041328957006</v>
      </c>
      <c r="I489" s="201"/>
      <c r="J489" s="276">
        <f>J475</f>
        <v>11546.230432643726</v>
      </c>
      <c r="K489" s="201"/>
      <c r="L489" s="276">
        <f>(H489-J489)/F489</f>
        <v>0.95241311343337154</v>
      </c>
      <c r="M489" s="200"/>
      <c r="N489" s="200"/>
      <c r="O489" s="307">
        <f>H485/2-L489</f>
        <v>-0.95241311343337154</v>
      </c>
      <c r="P489" s="308"/>
      <c r="Q489" s="308"/>
      <c r="R489" s="276">
        <f>H359/3</f>
        <v>0.83333333333333337</v>
      </c>
      <c r="S489" s="200"/>
      <c r="T489" s="200"/>
      <c r="U489" s="147" t="str">
        <f>IF(O489&lt;=R489,"Ok","Error")</f>
        <v>Ok</v>
      </c>
      <c r="V489" s="8"/>
      <c r="W489" s="8"/>
      <c r="X489" s="8"/>
      <c r="Y489" s="8"/>
      <c r="Z489" s="8"/>
      <c r="AA489" s="8"/>
      <c r="AB489" s="8"/>
      <c r="AC489" s="8"/>
      <c r="AD489" s="8"/>
      <c r="AE489" s="18"/>
      <c r="AF489" s="18"/>
      <c r="AG489" s="18"/>
      <c r="AH489" s="18"/>
      <c r="AI489" s="18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  <c r="AV489" s="54"/>
      <c r="AW489" s="54"/>
      <c r="AX489" s="54"/>
    </row>
    <row r="490" spans="1:50">
      <c r="A490" s="8"/>
      <c r="B490" s="8"/>
      <c r="C490" s="245" t="s">
        <v>203</v>
      </c>
      <c r="D490" s="245"/>
      <c r="E490" s="245"/>
      <c r="F490" s="276">
        <f>R437</f>
        <v>24221.985176976144</v>
      </c>
      <c r="G490" s="201"/>
      <c r="H490" s="276">
        <f>R450</f>
        <v>40434.890042440362</v>
      </c>
      <c r="I490" s="201"/>
      <c r="J490" s="276">
        <f>J477</f>
        <v>11546.230432643726</v>
      </c>
      <c r="K490" s="201"/>
      <c r="L490" s="276">
        <f t="shared" ref="L490:L492" si="267">(H490-J490)/F490</f>
        <v>1.1926627565298129</v>
      </c>
      <c r="M490" s="200"/>
      <c r="N490" s="200"/>
      <c r="O490" s="307">
        <f>H485/2-L490</f>
        <v>-1.1926627565298129</v>
      </c>
      <c r="P490" s="308"/>
      <c r="Q490" s="308"/>
      <c r="R490" s="276">
        <f>H359/3</f>
        <v>0.83333333333333337</v>
      </c>
      <c r="S490" s="200"/>
      <c r="T490" s="200"/>
      <c r="U490" s="147" t="str">
        <f t="shared" ref="U490:U492" si="268">IF(O490&lt;=R490,"Ok","Error")</f>
        <v>Ok</v>
      </c>
      <c r="V490" s="8"/>
      <c r="W490" s="8"/>
      <c r="X490" s="8"/>
      <c r="Y490" s="8"/>
      <c r="Z490" s="8"/>
      <c r="AA490" s="8"/>
      <c r="AB490" s="8"/>
      <c r="AC490" s="8"/>
      <c r="AD490" s="8"/>
      <c r="AE490" s="18"/>
      <c r="AF490" s="18"/>
      <c r="AG490" s="18"/>
      <c r="AH490" s="18"/>
      <c r="AI490" s="18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54"/>
      <c r="AW490" s="54"/>
      <c r="AX490" s="54"/>
    </row>
    <row r="491" spans="1:50">
      <c r="A491" s="8"/>
      <c r="B491" s="8"/>
      <c r="C491" s="245" t="s">
        <v>204</v>
      </c>
      <c r="D491" s="245"/>
      <c r="E491" s="245"/>
      <c r="F491" s="276">
        <f>R439</f>
        <v>16740.436131582799</v>
      </c>
      <c r="G491" s="201"/>
      <c r="H491" s="276">
        <f>R452</f>
        <v>27490.041328957006</v>
      </c>
      <c r="I491" s="201"/>
      <c r="J491" s="276">
        <f>J479</f>
        <v>7541.1713583128612</v>
      </c>
      <c r="K491" s="201"/>
      <c r="L491" s="276">
        <f t="shared" si="267"/>
        <v>1.1916577210917616</v>
      </c>
      <c r="M491" s="200"/>
      <c r="N491" s="200"/>
      <c r="O491" s="307">
        <f>H485/2-L491</f>
        <v>-1.1916577210917616</v>
      </c>
      <c r="P491" s="308"/>
      <c r="Q491" s="308"/>
      <c r="R491" s="276">
        <f>H359/3</f>
        <v>0.83333333333333337</v>
      </c>
      <c r="S491" s="200"/>
      <c r="T491" s="200"/>
      <c r="U491" s="147" t="str">
        <f t="shared" si="268"/>
        <v>Ok</v>
      </c>
      <c r="V491" s="8"/>
      <c r="W491" s="8"/>
      <c r="X491" s="8"/>
      <c r="Y491" s="8"/>
      <c r="Z491" s="8"/>
      <c r="AA491" s="8"/>
      <c r="AB491" s="8"/>
      <c r="AC491" s="8"/>
      <c r="AD491" s="8"/>
      <c r="AE491" s="18"/>
      <c r="AF491" s="18"/>
      <c r="AG491" s="18"/>
      <c r="AH491" s="18"/>
      <c r="AI491" s="18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  <c r="AV491" s="54"/>
      <c r="AW491" s="54"/>
      <c r="AX491" s="54"/>
    </row>
    <row r="492" spans="1:50">
      <c r="A492" s="8"/>
      <c r="B492" s="8"/>
      <c r="C492" s="245" t="s">
        <v>205</v>
      </c>
      <c r="D492" s="245"/>
      <c r="E492" s="245"/>
      <c r="F492" s="276">
        <f>R441</f>
        <v>22177.4761315828</v>
      </c>
      <c r="G492" s="201"/>
      <c r="H492" s="276">
        <f>R454</f>
        <v>35600.117428957004</v>
      </c>
      <c r="I492" s="201"/>
      <c r="J492" s="276">
        <f>J481</f>
        <v>7541.1713583128612</v>
      </c>
      <c r="K492" s="201"/>
      <c r="L492" s="276">
        <f t="shared" si="267"/>
        <v>1.2652001474002526</v>
      </c>
      <c r="M492" s="200"/>
      <c r="N492" s="200"/>
      <c r="O492" s="307">
        <f>H485/2-L492</f>
        <v>-1.2652001474002526</v>
      </c>
      <c r="P492" s="308"/>
      <c r="Q492" s="308"/>
      <c r="R492" s="276">
        <f>H359/3</f>
        <v>0.83333333333333337</v>
      </c>
      <c r="S492" s="200"/>
      <c r="T492" s="200"/>
      <c r="U492" s="147" t="str">
        <f t="shared" si="268"/>
        <v>Ok</v>
      </c>
      <c r="V492" s="8"/>
      <c r="W492" s="8"/>
      <c r="X492" s="8"/>
      <c r="Y492" s="8"/>
      <c r="Z492" s="8"/>
      <c r="AA492" s="8"/>
      <c r="AB492" s="8"/>
      <c r="AC492" s="8"/>
      <c r="AD492" s="8"/>
      <c r="AE492" s="18"/>
      <c r="AF492" s="18"/>
      <c r="AG492" s="18"/>
      <c r="AH492" s="18"/>
      <c r="AI492" s="18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</row>
    <row r="493" spans="1:50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18"/>
      <c r="AF493" s="18"/>
      <c r="AG493" s="18"/>
      <c r="AH493" s="18"/>
      <c r="AI493" s="18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</row>
    <row r="494" spans="1:50">
      <c r="A494" s="8"/>
      <c r="B494" s="8"/>
      <c r="C494" s="108" t="s">
        <v>262</v>
      </c>
      <c r="D494" s="19" t="s">
        <v>263</v>
      </c>
      <c r="E494" s="20"/>
      <c r="F494" s="20"/>
      <c r="G494" s="20"/>
      <c r="H494" s="20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18"/>
      <c r="AF494" s="18"/>
      <c r="AG494" s="18"/>
      <c r="AH494" s="18"/>
      <c r="AI494" s="18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</row>
    <row r="495" spans="1:50" ht="11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18"/>
      <c r="AF495" s="18"/>
      <c r="AG495" s="18"/>
      <c r="AH495" s="18"/>
      <c r="AI495" s="18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</row>
    <row r="496" spans="1:50">
      <c r="A496" s="8"/>
      <c r="B496" s="8"/>
      <c r="C496" s="8"/>
      <c r="D496" s="18" t="s">
        <v>272</v>
      </c>
      <c r="E496" s="18"/>
      <c r="F496" s="18"/>
      <c r="G496" s="18"/>
      <c r="H496" s="18"/>
      <c r="I496" s="18"/>
      <c r="J496" s="18"/>
      <c r="K496" s="54"/>
      <c r="L496" s="54"/>
      <c r="M496" s="54"/>
      <c r="N496" s="54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18"/>
      <c r="AF496" s="18"/>
      <c r="AG496" s="18"/>
      <c r="AH496" s="18"/>
      <c r="AI496" s="18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  <c r="AV496" s="54"/>
      <c r="AW496" s="54"/>
      <c r="AX496" s="54"/>
    </row>
    <row r="497" spans="1:50">
      <c r="A497" s="8"/>
      <c r="B497" s="8"/>
      <c r="C497" s="8"/>
      <c r="D497" s="18"/>
      <c r="E497" s="8" t="s">
        <v>270</v>
      </c>
      <c r="F497" s="8" t="s">
        <v>1</v>
      </c>
      <c r="G497" s="8" t="s">
        <v>273</v>
      </c>
      <c r="H497" s="8" t="s">
        <v>1</v>
      </c>
      <c r="I497" s="291">
        <f>TAN(RADIANS(D8))</f>
        <v>0.44522868530853621</v>
      </c>
      <c r="J497" s="291"/>
      <c r="K497" s="8"/>
      <c r="L497" s="132"/>
      <c r="M497" s="133"/>
      <c r="N497" s="59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18"/>
      <c r="AF497" s="18"/>
      <c r="AG497" s="18"/>
      <c r="AH497" s="18"/>
      <c r="AI497" s="18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54"/>
      <c r="AW497" s="54"/>
      <c r="AX497" s="54"/>
    </row>
    <row r="498" spans="1:50">
      <c r="A498" s="8"/>
      <c r="B498" s="8"/>
      <c r="C498" s="8"/>
      <c r="D498" s="54"/>
      <c r="E498" s="35" t="s">
        <v>274</v>
      </c>
      <c r="F498" s="8" t="s">
        <v>1</v>
      </c>
      <c r="G498" s="172">
        <v>1</v>
      </c>
      <c r="H498" s="172"/>
      <c r="I498" s="160" t="s">
        <v>271</v>
      </c>
      <c r="J498" s="160"/>
      <c r="K498" s="160"/>
      <c r="L498" s="135"/>
      <c r="M498" s="135"/>
      <c r="N498" s="54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18"/>
      <c r="AF498" s="18"/>
      <c r="AG498" s="18"/>
      <c r="AH498" s="18"/>
      <c r="AI498" s="18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  <c r="AV498" s="54"/>
      <c r="AW498" s="54"/>
      <c r="AX498" s="54"/>
    </row>
    <row r="499" spans="1:50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18"/>
      <c r="AF499" s="18"/>
      <c r="AG499" s="18"/>
      <c r="AH499" s="18"/>
      <c r="AI499" s="18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</row>
    <row r="500" spans="1:50" ht="15">
      <c r="A500" s="8"/>
      <c r="B500" s="8"/>
      <c r="C500" s="179" t="s">
        <v>257</v>
      </c>
      <c r="D500" s="179"/>
      <c r="E500" s="179"/>
      <c r="F500" s="282" t="s">
        <v>277</v>
      </c>
      <c r="G500" s="282"/>
      <c r="H500" s="290" t="s">
        <v>276</v>
      </c>
      <c r="I500" s="290"/>
      <c r="J500" s="290"/>
      <c r="K500" s="284" t="s">
        <v>275</v>
      </c>
      <c r="L500" s="286"/>
      <c r="M500" s="285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18"/>
      <c r="AF500" s="18"/>
      <c r="AG500" s="18"/>
      <c r="AH500" s="18"/>
      <c r="AI500" s="18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</row>
    <row r="501" spans="1:50" ht="15">
      <c r="A501" s="8"/>
      <c r="B501" s="8"/>
      <c r="C501" s="179"/>
      <c r="D501" s="179"/>
      <c r="E501" s="179"/>
      <c r="F501" s="283" t="s">
        <v>258</v>
      </c>
      <c r="G501" s="283"/>
      <c r="H501" s="290"/>
      <c r="I501" s="290"/>
      <c r="J501" s="290"/>
      <c r="K501" s="287" t="s">
        <v>239</v>
      </c>
      <c r="L501" s="288"/>
      <c r="M501" s="289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18"/>
      <c r="AF501" s="18"/>
      <c r="AG501" s="18"/>
      <c r="AH501" s="18"/>
      <c r="AI501" s="18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</row>
    <row r="502" spans="1:50">
      <c r="A502" s="8"/>
      <c r="B502" s="8"/>
      <c r="C502" s="245" t="s">
        <v>202</v>
      </c>
      <c r="D502" s="245"/>
      <c r="E502" s="245"/>
      <c r="F502" s="276">
        <f>R435</f>
        <v>16740.436131582799</v>
      </c>
      <c r="G502" s="201"/>
      <c r="H502" s="218">
        <f>$I$497*($G$498*F502)</f>
        <v>7453.3223703561271</v>
      </c>
      <c r="I502" s="218"/>
      <c r="J502" s="218"/>
      <c r="K502" s="276">
        <f>J462</f>
        <v>7525.4476801158362</v>
      </c>
      <c r="L502" s="200"/>
      <c r="M502" s="200"/>
      <c r="N502" s="147" t="str">
        <f>IF(K502&lt;=H502,"Ok","Error")</f>
        <v>Error</v>
      </c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18"/>
      <c r="AF502" s="18"/>
      <c r="AG502" s="18"/>
      <c r="AH502" s="18"/>
      <c r="AI502" s="18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</row>
    <row r="503" spans="1:50">
      <c r="A503" s="8"/>
      <c r="B503" s="8"/>
      <c r="C503" s="245" t="s">
        <v>203</v>
      </c>
      <c r="D503" s="245"/>
      <c r="E503" s="245"/>
      <c r="F503" s="276">
        <f>R437</f>
        <v>24221.985176976144</v>
      </c>
      <c r="G503" s="201"/>
      <c r="H503" s="218">
        <f t="shared" ref="H503:H505" si="269">$I$497*($G$498*F503)</f>
        <v>10784.32261590794</v>
      </c>
      <c r="I503" s="218"/>
      <c r="J503" s="218"/>
      <c r="K503" s="276">
        <f>J464</f>
        <v>7525.4476801158362</v>
      </c>
      <c r="L503" s="200"/>
      <c r="M503" s="200"/>
      <c r="N503" s="147" t="str">
        <f t="shared" ref="N503:N505" si="270">IF(K503&lt;=H503,"Ok","Error")</f>
        <v>Ok</v>
      </c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18"/>
      <c r="AF503" s="18"/>
      <c r="AG503" s="18"/>
      <c r="AH503" s="18"/>
      <c r="AI503" s="18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</row>
    <row r="504" spans="1:50">
      <c r="A504" s="8"/>
      <c r="B504" s="8"/>
      <c r="C504" s="245" t="s">
        <v>204</v>
      </c>
      <c r="D504" s="245"/>
      <c r="E504" s="245"/>
      <c r="F504" s="276">
        <f>R439</f>
        <v>16740.436131582799</v>
      </c>
      <c r="G504" s="201"/>
      <c r="H504" s="218">
        <f>$I$497*($G$498*F504)</f>
        <v>7453.3223703561271</v>
      </c>
      <c r="I504" s="218"/>
      <c r="J504" s="218"/>
      <c r="K504" s="276">
        <f>J466</f>
        <v>5417.5218515206443</v>
      </c>
      <c r="L504" s="200"/>
      <c r="M504" s="200"/>
      <c r="N504" s="147" t="str">
        <f t="shared" si="270"/>
        <v>Ok</v>
      </c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18"/>
      <c r="AF504" s="18"/>
      <c r="AG504" s="18"/>
      <c r="AH504" s="18"/>
      <c r="AI504" s="18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</row>
    <row r="505" spans="1:50">
      <c r="A505" s="8"/>
      <c r="B505" s="8"/>
      <c r="C505" s="245" t="s">
        <v>205</v>
      </c>
      <c r="D505" s="245"/>
      <c r="E505" s="245"/>
      <c r="F505" s="276">
        <f>R441</f>
        <v>22177.4761315828</v>
      </c>
      <c r="G505" s="201"/>
      <c r="H505" s="218">
        <f t="shared" si="269"/>
        <v>9874.0485415260518</v>
      </c>
      <c r="I505" s="218"/>
      <c r="J505" s="218"/>
      <c r="K505" s="276">
        <f>J468</f>
        <v>5417.5218515206443</v>
      </c>
      <c r="L505" s="200"/>
      <c r="M505" s="200"/>
      <c r="N505" s="147" t="str">
        <f t="shared" si="270"/>
        <v>Ok</v>
      </c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18"/>
      <c r="AF505" s="18"/>
      <c r="AG505" s="18"/>
      <c r="AH505" s="18"/>
      <c r="AI505" s="18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4"/>
      <c r="AV505" s="54"/>
      <c r="AW505" s="54"/>
      <c r="AX505" s="54"/>
    </row>
    <row r="506" spans="1:50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18"/>
      <c r="AF506" s="18"/>
      <c r="AG506" s="18"/>
      <c r="AH506" s="18"/>
      <c r="AI506" s="18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54"/>
      <c r="AW506" s="54"/>
      <c r="AX506" s="54"/>
    </row>
    <row r="507" spans="1:50">
      <c r="A507" s="8"/>
      <c r="B507" s="8"/>
      <c r="C507" s="195" t="s">
        <v>298</v>
      </c>
      <c r="D507" s="195"/>
      <c r="E507" s="195"/>
      <c r="F507" s="195"/>
      <c r="G507" s="195"/>
      <c r="H507" s="195"/>
      <c r="I507" s="195"/>
      <c r="J507" s="195"/>
      <c r="K507" s="195"/>
      <c r="L507" s="195"/>
      <c r="M507" s="195"/>
      <c r="N507" s="195"/>
      <c r="O507" s="195"/>
      <c r="P507" s="195"/>
      <c r="Q507" s="195"/>
      <c r="R507" s="195"/>
      <c r="S507" s="195"/>
      <c r="T507" s="195"/>
      <c r="U507" s="195"/>
      <c r="V507" s="195"/>
      <c r="W507" s="195"/>
      <c r="X507" s="195"/>
      <c r="Y507" s="8"/>
      <c r="Z507" s="8"/>
      <c r="AA507" s="8"/>
      <c r="AB507" s="8"/>
      <c r="AC507" s="8"/>
      <c r="AD507" s="8"/>
      <c r="AE507" s="18"/>
      <c r="AF507" s="18"/>
      <c r="AG507" s="18"/>
      <c r="AH507" s="18"/>
      <c r="AI507" s="18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  <c r="AV507" s="54"/>
      <c r="AW507" s="54"/>
      <c r="AX507" s="54"/>
    </row>
    <row r="508" spans="1:50">
      <c r="A508" s="8"/>
      <c r="B508" s="8"/>
      <c r="C508" s="195"/>
      <c r="D508" s="195"/>
      <c r="E508" s="195"/>
      <c r="F508" s="195"/>
      <c r="G508" s="195"/>
      <c r="H508" s="195"/>
      <c r="I508" s="195"/>
      <c r="J508" s="195"/>
      <c r="K508" s="195"/>
      <c r="L508" s="195"/>
      <c r="M508" s="195"/>
      <c r="N508" s="195"/>
      <c r="O508" s="195"/>
      <c r="P508" s="195"/>
      <c r="Q508" s="195"/>
      <c r="R508" s="195"/>
      <c r="S508" s="195"/>
      <c r="T508" s="195"/>
      <c r="U508" s="195"/>
      <c r="V508" s="195"/>
      <c r="W508" s="195"/>
      <c r="X508" s="195"/>
      <c r="Y508" s="8"/>
      <c r="Z508" s="8"/>
      <c r="AA508" s="8"/>
      <c r="AB508" s="8"/>
      <c r="AC508" s="8"/>
      <c r="AD508" s="8"/>
      <c r="AE508" s="18"/>
      <c r="AF508" s="18"/>
      <c r="AG508" s="18"/>
      <c r="AH508" s="18"/>
      <c r="AI508" s="18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</row>
    <row r="509" spans="1:50">
      <c r="A509" s="8"/>
      <c r="B509" s="8"/>
      <c r="C509" s="148"/>
      <c r="D509" s="148"/>
      <c r="E509" s="148"/>
      <c r="F509" s="148"/>
      <c r="G509" s="148"/>
      <c r="H509" s="148"/>
      <c r="I509" s="148"/>
      <c r="J509" s="148"/>
      <c r="K509" s="148"/>
      <c r="L509" s="148"/>
      <c r="M509" s="148"/>
      <c r="N509" s="14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18"/>
      <c r="AF509" s="18"/>
      <c r="AG509" s="18"/>
      <c r="AH509" s="18"/>
      <c r="AI509" s="18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  <c r="AV509" s="54"/>
      <c r="AW509" s="54"/>
      <c r="AX509" s="54"/>
    </row>
    <row r="510" spans="1:5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8"/>
      <c r="Z510" s="8"/>
      <c r="AA510" s="8"/>
      <c r="AB510" s="8"/>
      <c r="AC510" s="8"/>
      <c r="AD510" s="8"/>
      <c r="AE510" s="18"/>
      <c r="AF510" s="18"/>
      <c r="AG510" s="18"/>
      <c r="AH510" s="18"/>
      <c r="AI510" s="18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  <c r="AV510" s="54"/>
      <c r="AW510" s="54"/>
      <c r="AX510" s="54"/>
    </row>
    <row r="511" spans="1:50">
      <c r="A511" s="8"/>
      <c r="B511" s="38">
        <f>C115</f>
        <v>0.9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18"/>
      <c r="AF511" s="18"/>
      <c r="AG511" s="18"/>
      <c r="AH511" s="18"/>
      <c r="AI511" s="18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  <c r="AV511" s="54"/>
      <c r="AW511" s="54"/>
      <c r="AX511" s="54"/>
    </row>
    <row r="512" spans="1:50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18"/>
      <c r="AF512" s="18"/>
      <c r="AG512" s="18"/>
      <c r="AH512" s="18"/>
      <c r="AI512" s="18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</row>
    <row r="513" spans="1:50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18"/>
      <c r="AF513" s="18"/>
      <c r="AG513" s="18"/>
      <c r="AH513" s="18"/>
      <c r="AI513" s="18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</row>
    <row r="514" spans="1:50">
      <c r="A514" s="8"/>
      <c r="B514" s="38">
        <f>C117</f>
        <v>0.6</v>
      </c>
      <c r="C514" s="8"/>
      <c r="D514" s="37" t="str">
        <f>"Kp x "&amp;N49&amp;" x "&amp;B511+B514&amp;" = "&amp;ROUND((F524*(B511+B514)*N49),2)</f>
        <v>Kp x 1600 x 1.5 = 7621.44</v>
      </c>
      <c r="E514" s="8"/>
      <c r="F514" s="9"/>
      <c r="G514" s="8"/>
      <c r="H514" s="8"/>
      <c r="I514" s="172">
        <v>0.3</v>
      </c>
      <c r="J514" s="172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18"/>
      <c r="AF514" s="18"/>
      <c r="AG514" s="18"/>
      <c r="AH514" s="18"/>
      <c r="AI514" s="18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</row>
    <row r="515" spans="1:50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18"/>
      <c r="AF515" s="18"/>
      <c r="AG515" s="18"/>
      <c r="AH515" s="18"/>
      <c r="AI515" s="18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  <c r="AV515" s="54"/>
      <c r="AW515" s="54"/>
      <c r="AX515" s="54"/>
    </row>
    <row r="516" spans="1:50">
      <c r="A516" s="8"/>
      <c r="B516" s="38">
        <v>0.3</v>
      </c>
      <c r="C516" s="8"/>
      <c r="D516" s="8"/>
      <c r="E516" s="8"/>
      <c r="F516" s="8"/>
      <c r="G516" s="26" t="s">
        <v>299</v>
      </c>
      <c r="H516" s="105">
        <f>M526</f>
        <v>2515.0752000000002</v>
      </c>
      <c r="I516" s="37" t="s">
        <v>309</v>
      </c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18"/>
      <c r="AF516" s="18"/>
      <c r="AG516" s="18"/>
      <c r="AH516" s="18"/>
      <c r="AI516" s="18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  <c r="AV516" s="54"/>
      <c r="AW516" s="54"/>
      <c r="AX516" s="54"/>
    </row>
    <row r="517" spans="1:50">
      <c r="A517" s="8"/>
      <c r="B517" s="8"/>
      <c r="C517" s="8"/>
      <c r="D517" s="37" t="str">
        <f>"Kp x "&amp;N49&amp;" x "&amp;B511+B516+B514&amp;" = "&amp;ROUND((F524*(B511+B516+B514)*N49),2)</f>
        <v>Kp x 1600 x 1.8 = 9145.73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18"/>
      <c r="AF517" s="18"/>
      <c r="AG517" s="18"/>
      <c r="AH517" s="18"/>
      <c r="AI517" s="18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  <c r="AV517" s="54"/>
      <c r="AW517" s="54"/>
      <c r="AX517" s="54"/>
    </row>
    <row r="518" spans="1:50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18"/>
      <c r="AF518" s="18"/>
      <c r="AG518" s="18"/>
      <c r="AH518" s="18"/>
      <c r="AI518" s="18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54"/>
      <c r="AW518" s="54"/>
      <c r="AX518" s="54"/>
    </row>
    <row r="519" spans="1:50">
      <c r="A519" s="8"/>
      <c r="B519" s="8"/>
      <c r="C519" s="18" t="s">
        <v>300</v>
      </c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18"/>
      <c r="AF519" s="18"/>
      <c r="AG519" s="18"/>
      <c r="AH519" s="18"/>
      <c r="AI519" s="18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</row>
    <row r="520" spans="1:50">
      <c r="A520" s="8"/>
      <c r="B520" s="8"/>
      <c r="C520" s="161" t="s">
        <v>304</v>
      </c>
      <c r="D520" s="161"/>
      <c r="E520" s="161"/>
      <c r="F520" s="161"/>
      <c r="G520" s="161"/>
      <c r="H520" s="161"/>
      <c r="I520" s="8">
        <v>6.8</v>
      </c>
      <c r="J520" s="37" t="s">
        <v>301</v>
      </c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18"/>
      <c r="AF520" s="18"/>
      <c r="AG520" s="18"/>
      <c r="AH520" s="18"/>
      <c r="AI520" s="18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  <c r="AV520" s="54"/>
      <c r="AW520" s="54"/>
      <c r="AX520" s="54"/>
    </row>
    <row r="521" spans="1:50">
      <c r="A521" s="8"/>
      <c r="B521" s="8"/>
      <c r="C521" s="37" t="s">
        <v>302</v>
      </c>
      <c r="D521" s="8"/>
      <c r="E521" s="8"/>
      <c r="F521" s="8"/>
      <c r="G521" s="8"/>
      <c r="H521" s="8"/>
      <c r="I521" s="8">
        <v>0.46700000000000003</v>
      </c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18"/>
      <c r="AF521" s="18"/>
      <c r="AG521" s="18"/>
      <c r="AH521" s="18"/>
      <c r="AI521" s="18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  <c r="AV521" s="54"/>
      <c r="AW521" s="54"/>
      <c r="AX521" s="54"/>
    </row>
    <row r="522" spans="1:50">
      <c r="A522" s="8"/>
      <c r="B522" s="8"/>
      <c r="C522" s="37" t="s">
        <v>303</v>
      </c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18"/>
      <c r="AF522" s="18"/>
      <c r="AG522" s="18"/>
      <c r="AH522" s="18"/>
      <c r="AI522" s="18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54"/>
      <c r="AW522" s="54"/>
      <c r="AX522" s="54"/>
    </row>
    <row r="523" spans="1:50">
      <c r="A523" s="8"/>
      <c r="B523" s="8"/>
      <c r="C523" s="8"/>
      <c r="D523" s="8"/>
      <c r="E523" s="8" t="s">
        <v>305</v>
      </c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18"/>
      <c r="AF523" s="18"/>
      <c r="AG523" s="18"/>
      <c r="AH523" s="18"/>
      <c r="AI523" s="18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54"/>
      <c r="AW523" s="54"/>
      <c r="AX523" s="54"/>
    </row>
    <row r="524" spans="1:50">
      <c r="A524" s="8"/>
      <c r="B524" s="8"/>
      <c r="C524" s="8"/>
      <c r="D524" s="8" t="s">
        <v>306</v>
      </c>
      <c r="E524" s="9" t="s">
        <v>1</v>
      </c>
      <c r="F524" s="8">
        <f>I521*I520</f>
        <v>3.1756000000000002</v>
      </c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18"/>
      <c r="AF524" s="18"/>
      <c r="AG524" s="18"/>
      <c r="AH524" s="18"/>
      <c r="AI524" s="18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  <c r="AV524" s="54"/>
      <c r="AW524" s="54"/>
      <c r="AX524" s="54"/>
    </row>
    <row r="525" spans="1:50">
      <c r="A525" s="8"/>
      <c r="B525" s="8"/>
      <c r="C525" s="37" t="s">
        <v>307</v>
      </c>
      <c r="D525" s="8"/>
      <c r="E525" s="9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18"/>
      <c r="AF525" s="18"/>
      <c r="AG525" s="18"/>
      <c r="AH525" s="18"/>
      <c r="AI525" s="18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  <c r="AV525" s="54"/>
      <c r="AW525" s="54"/>
      <c r="AX525" s="54"/>
    </row>
    <row r="526" spans="1:50">
      <c r="A526" s="8"/>
      <c r="B526" s="8"/>
      <c r="C526" s="8"/>
      <c r="D526" s="8" t="s">
        <v>308</v>
      </c>
      <c r="E526" s="9" t="s">
        <v>1</v>
      </c>
      <c r="F526" s="160" t="str">
        <f>"1/2 ("&amp;ROUND((F524*(B511+B514)*N49),2)&amp;"kg/m + "&amp;ROUND((F524*(B511+B516+B514)*N49),2)&amp;"kg/m) x "&amp;B516&amp;"m"</f>
        <v>1/2 (7621.44kg/m + 9145.73kg/m) x 0.3m</v>
      </c>
      <c r="G526" s="160"/>
      <c r="H526" s="160"/>
      <c r="I526" s="160"/>
      <c r="J526" s="160"/>
      <c r="K526" s="160"/>
      <c r="L526" s="9" t="s">
        <v>1</v>
      </c>
      <c r="M526" s="105">
        <f>1/2 *(((F524*(B511+B514)*N49))+((F524*(B511+B516+B514)*N49)))*B516</f>
        <v>2515.0752000000002</v>
      </c>
      <c r="N526" s="8" t="s">
        <v>309</v>
      </c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18"/>
      <c r="AF526" s="18"/>
      <c r="AG526" s="18"/>
      <c r="AH526" s="18"/>
      <c r="AI526" s="18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  <c r="AV526" s="54"/>
      <c r="AW526" s="54"/>
      <c r="AX526" s="54"/>
    </row>
    <row r="527" spans="1:50">
      <c r="A527" s="8"/>
      <c r="B527" s="8"/>
      <c r="C527" s="37" t="s">
        <v>310</v>
      </c>
      <c r="D527" s="8"/>
      <c r="E527" s="9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18"/>
      <c r="AF527" s="18"/>
      <c r="AG527" s="18"/>
      <c r="AH527" s="18"/>
      <c r="AI527" s="18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  <c r="AV527" s="54"/>
      <c r="AW527" s="54"/>
      <c r="AX527" s="54"/>
    </row>
    <row r="528" spans="1:50">
      <c r="A528" s="8"/>
      <c r="B528" s="8"/>
      <c r="C528" s="8"/>
      <c r="D528" s="37" t="s">
        <v>311</v>
      </c>
      <c r="E528" s="9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18"/>
      <c r="AF528" s="18"/>
      <c r="AG528" s="18"/>
      <c r="AH528" s="18"/>
      <c r="AI528" s="18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54"/>
      <c r="AW528" s="54"/>
      <c r="AX528" s="54"/>
    </row>
    <row r="529" spans="1:50">
      <c r="A529" s="8"/>
      <c r="B529" s="8"/>
      <c r="C529" s="8" t="s">
        <v>272</v>
      </c>
      <c r="D529" s="37"/>
      <c r="E529" s="9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18"/>
      <c r="AF529" s="18"/>
      <c r="AG529" s="18"/>
      <c r="AH529" s="18"/>
      <c r="AI529" s="18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54"/>
      <c r="AW529" s="54"/>
      <c r="AX529" s="54"/>
    </row>
    <row r="530" spans="1:50">
      <c r="A530" s="8"/>
      <c r="B530" s="8"/>
      <c r="C530" s="37" t="s">
        <v>312</v>
      </c>
      <c r="D530" s="9" t="s">
        <v>1</v>
      </c>
      <c r="E530" s="149">
        <f>H502</f>
        <v>7453.3223703561271</v>
      </c>
      <c r="F530" s="149" t="s">
        <v>309</v>
      </c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18"/>
      <c r="AF530" s="18"/>
      <c r="AG530" s="18"/>
      <c r="AH530" s="18"/>
      <c r="AI530" s="18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54"/>
      <c r="AW530" s="54"/>
      <c r="AX530" s="54"/>
    </row>
    <row r="531" spans="1:50">
      <c r="A531" s="8"/>
      <c r="B531" s="8"/>
      <c r="C531" s="37" t="s">
        <v>313</v>
      </c>
      <c r="D531" s="9" t="s">
        <v>1</v>
      </c>
      <c r="E531" s="9">
        <v>0.5</v>
      </c>
      <c r="F531" s="150"/>
      <c r="G531" s="37" t="s">
        <v>314</v>
      </c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18"/>
      <c r="AF531" s="18"/>
      <c r="AG531" s="18"/>
      <c r="AH531" s="18"/>
      <c r="AI531" s="18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  <c r="AV531" s="54"/>
      <c r="AW531" s="54"/>
      <c r="AX531" s="54"/>
    </row>
    <row r="532" spans="1:50">
      <c r="A532" s="8"/>
      <c r="B532" s="8"/>
      <c r="C532" s="37" t="s">
        <v>308</v>
      </c>
      <c r="D532" s="9" t="s">
        <v>1</v>
      </c>
      <c r="E532" s="151">
        <f>M526</f>
        <v>2515.0752000000002</v>
      </c>
      <c r="F532" s="150" t="s">
        <v>309</v>
      </c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18"/>
      <c r="AF532" s="18"/>
      <c r="AG532" s="18"/>
      <c r="AH532" s="18"/>
      <c r="AI532" s="18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  <c r="AV532" s="54"/>
      <c r="AW532" s="54"/>
      <c r="AX532" s="54"/>
    </row>
    <row r="533" spans="1:50">
      <c r="A533" s="8"/>
      <c r="B533" s="8"/>
      <c r="C533" s="8"/>
      <c r="D533" s="9"/>
      <c r="E533" s="37" t="s">
        <v>315</v>
      </c>
      <c r="F533" s="9" t="s">
        <v>1</v>
      </c>
      <c r="G533" s="8">
        <f>E530+E531*E532</f>
        <v>8710.8599703561267</v>
      </c>
      <c r="H533" s="8" t="s">
        <v>59</v>
      </c>
      <c r="I533" s="172">
        <f>K502</f>
        <v>7525.4476801158362</v>
      </c>
      <c r="J533" s="172"/>
      <c r="K533" s="152" t="str">
        <f>IF(G533&gt;I533,"Ok","Error")</f>
        <v>Ok</v>
      </c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18"/>
      <c r="AF533" s="18"/>
      <c r="AG533" s="18"/>
      <c r="AH533" s="18"/>
      <c r="AI533" s="18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  <c r="AV533" s="54"/>
      <c r="AW533" s="54"/>
      <c r="AX533" s="54"/>
    </row>
    <row r="534" spans="1:50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18"/>
      <c r="AF534" s="18"/>
      <c r="AG534" s="18"/>
      <c r="AH534" s="18"/>
      <c r="AI534" s="18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  <c r="AV534" s="54"/>
      <c r="AW534" s="54"/>
      <c r="AX534" s="54"/>
    </row>
    <row r="535" spans="1:50">
      <c r="A535" s="8"/>
      <c r="B535" s="8"/>
      <c r="C535" s="108" t="s">
        <v>278</v>
      </c>
      <c r="D535" s="19" t="s">
        <v>279</v>
      </c>
      <c r="E535" s="20"/>
      <c r="F535" s="20"/>
      <c r="G535" s="20"/>
      <c r="H535" s="20"/>
      <c r="I535" s="20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18"/>
      <c r="AF535" s="18"/>
      <c r="AG535" s="18"/>
      <c r="AH535" s="18"/>
      <c r="AI535" s="18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54"/>
      <c r="AW535" s="54"/>
      <c r="AX535" s="54"/>
    </row>
    <row r="536" spans="1:50">
      <c r="A536" s="8"/>
      <c r="B536" s="8"/>
      <c r="C536" s="90"/>
      <c r="D536" s="91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18"/>
      <c r="AF536" s="18"/>
      <c r="AG536" s="18"/>
      <c r="AH536" s="18"/>
      <c r="AI536" s="18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  <c r="AV536" s="54"/>
      <c r="AW536" s="54"/>
      <c r="AX536" s="54"/>
    </row>
    <row r="537" spans="1:50" ht="15">
      <c r="A537" s="8"/>
      <c r="B537" s="8"/>
      <c r="C537" s="179" t="s">
        <v>257</v>
      </c>
      <c r="D537" s="179"/>
      <c r="E537" s="179"/>
      <c r="F537" s="282" t="s">
        <v>277</v>
      </c>
      <c r="G537" s="282"/>
      <c r="H537" s="284" t="s">
        <v>286</v>
      </c>
      <c r="I537" s="285"/>
      <c r="J537" s="284" t="s">
        <v>287</v>
      </c>
      <c r="K537" s="285"/>
      <c r="L537" s="179"/>
      <c r="M537" s="179"/>
      <c r="N537" s="179"/>
      <c r="O537" s="179"/>
      <c r="P537" s="179"/>
      <c r="Q537" s="179"/>
      <c r="R537" s="179"/>
      <c r="S537" s="179"/>
      <c r="T537" s="179"/>
      <c r="U537" s="284" t="s">
        <v>288</v>
      </c>
      <c r="V537" s="285"/>
      <c r="W537" s="8"/>
      <c r="X537" s="8"/>
      <c r="Y537" s="8"/>
      <c r="Z537" s="8"/>
      <c r="AA537" s="8"/>
      <c r="AB537" s="8"/>
      <c r="AC537" s="8"/>
      <c r="AD537" s="8"/>
      <c r="AE537" s="18"/>
      <c r="AF537" s="18"/>
      <c r="AG537" s="18"/>
      <c r="AH537" s="18"/>
      <c r="AI537" s="18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  <c r="AV537" s="54"/>
      <c r="AW537" s="54"/>
      <c r="AX537" s="54"/>
    </row>
    <row r="538" spans="1:50">
      <c r="A538" s="8"/>
      <c r="B538" s="8"/>
      <c r="C538" s="179"/>
      <c r="D538" s="179"/>
      <c r="E538" s="179"/>
      <c r="F538" s="283" t="s">
        <v>258</v>
      </c>
      <c r="G538" s="283"/>
      <c r="H538" s="283" t="s">
        <v>259</v>
      </c>
      <c r="I538" s="283"/>
      <c r="J538" s="283" t="s">
        <v>259</v>
      </c>
      <c r="K538" s="283"/>
      <c r="L538" s="179"/>
      <c r="M538" s="179"/>
      <c r="N538" s="179"/>
      <c r="O538" s="179"/>
      <c r="P538" s="179"/>
      <c r="Q538" s="179"/>
      <c r="R538" s="179"/>
      <c r="S538" s="179"/>
      <c r="T538" s="179"/>
      <c r="U538" s="283" t="s">
        <v>289</v>
      </c>
      <c r="V538" s="283"/>
      <c r="W538" s="8"/>
      <c r="X538" s="8"/>
      <c r="Y538" s="8"/>
      <c r="Z538" s="8"/>
      <c r="AA538" s="8"/>
      <c r="AB538" s="8"/>
      <c r="AC538" s="8"/>
      <c r="AD538" s="8"/>
      <c r="AE538" s="18"/>
      <c r="AF538" s="18"/>
      <c r="AG538" s="18"/>
      <c r="AH538" s="18"/>
      <c r="AI538" s="18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  <c r="AV538" s="54"/>
      <c r="AW538" s="54"/>
      <c r="AX538" s="54"/>
    </row>
    <row r="539" spans="1:50">
      <c r="A539" s="8"/>
      <c r="B539" s="8"/>
      <c r="C539" s="245" t="s">
        <v>202</v>
      </c>
      <c r="D539" s="245"/>
      <c r="E539" s="245"/>
      <c r="F539" s="277">
        <f>F502</f>
        <v>16740.436131582799</v>
      </c>
      <c r="G539" s="278"/>
      <c r="H539" s="277">
        <f>H489</f>
        <v>27490.041328957006</v>
      </c>
      <c r="I539" s="278"/>
      <c r="J539" s="277">
        <f>J489</f>
        <v>11546.230432643726</v>
      </c>
      <c r="K539" s="278"/>
      <c r="L539" s="277">
        <f>(H539-J539)/F539</f>
        <v>0.95241311343337154</v>
      </c>
      <c r="M539" s="281"/>
      <c r="N539" s="281"/>
      <c r="O539" s="279">
        <f>G502/2-L539</f>
        <v>-0.95241311343337154</v>
      </c>
      <c r="P539" s="280"/>
      <c r="Q539" s="280"/>
      <c r="R539" s="277">
        <f>(F539/(G502-2*O539))/10000</f>
        <v>0.87884321915911534</v>
      </c>
      <c r="S539" s="281"/>
      <c r="T539" s="281"/>
      <c r="U539" s="277">
        <f>D5</f>
        <v>3</v>
      </c>
      <c r="V539" s="278"/>
      <c r="W539" s="7" t="str">
        <f>IF(R539&lt;U539,"Ok","Error")</f>
        <v>Ok</v>
      </c>
      <c r="X539" s="8"/>
      <c r="Y539" s="8"/>
      <c r="Z539" s="8"/>
      <c r="AA539" s="8"/>
      <c r="AB539" s="8"/>
      <c r="AC539" s="8"/>
      <c r="AD539" s="8"/>
      <c r="AE539" s="18"/>
      <c r="AF539" s="18"/>
      <c r="AG539" s="18"/>
      <c r="AH539" s="18"/>
      <c r="AI539" s="18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  <c r="AV539" s="54"/>
      <c r="AW539" s="54"/>
      <c r="AX539" s="54"/>
    </row>
    <row r="540" spans="1:50">
      <c r="A540" s="8"/>
      <c r="B540" s="8"/>
      <c r="C540" s="245" t="s">
        <v>203</v>
      </c>
      <c r="D540" s="245"/>
      <c r="E540" s="245"/>
      <c r="F540" s="277">
        <f t="shared" ref="F540:F542" si="271">F503</f>
        <v>24221.985176976144</v>
      </c>
      <c r="G540" s="278"/>
      <c r="H540" s="277">
        <f t="shared" ref="H540:H542" si="272">H490</f>
        <v>40434.890042440362</v>
      </c>
      <c r="I540" s="278"/>
      <c r="J540" s="277">
        <f t="shared" ref="J540:J542" si="273">J490</f>
        <v>11546.230432643726</v>
      </c>
      <c r="K540" s="278"/>
      <c r="L540" s="277">
        <f t="shared" ref="L540:L542" si="274">(H540-J540)/F540</f>
        <v>1.1926627565298129</v>
      </c>
      <c r="M540" s="281"/>
      <c r="N540" s="281"/>
      <c r="O540" s="279">
        <f>G502/2-L540</f>
        <v>-1.1926627565298129</v>
      </c>
      <c r="P540" s="280"/>
      <c r="Q540" s="280"/>
      <c r="R540" s="277">
        <f>(F540/(G502-2*O540))/10000</f>
        <v>1.0154582695049834</v>
      </c>
      <c r="S540" s="281"/>
      <c r="T540" s="281"/>
      <c r="U540" s="277">
        <f>+D5</f>
        <v>3</v>
      </c>
      <c r="V540" s="278"/>
      <c r="W540" s="7" t="str">
        <f t="shared" ref="W540:W542" si="275">IF(R540&lt;U540,"Ok","Error")</f>
        <v>Ok</v>
      </c>
      <c r="X540" s="8"/>
      <c r="Y540" s="8"/>
      <c r="Z540" s="8"/>
      <c r="AA540" s="8"/>
      <c r="AB540" s="8"/>
      <c r="AC540" s="8"/>
      <c r="AD540" s="8"/>
      <c r="AE540" s="18"/>
      <c r="AF540" s="18"/>
      <c r="AG540" s="18"/>
      <c r="AH540" s="18"/>
      <c r="AI540" s="18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  <c r="AV540" s="54"/>
      <c r="AW540" s="54"/>
      <c r="AX540" s="54"/>
    </row>
    <row r="541" spans="1:50">
      <c r="A541" s="8"/>
      <c r="B541" s="8"/>
      <c r="C541" s="245" t="s">
        <v>204</v>
      </c>
      <c r="D541" s="245"/>
      <c r="E541" s="245"/>
      <c r="F541" s="277">
        <f t="shared" si="271"/>
        <v>16740.436131582799</v>
      </c>
      <c r="G541" s="278"/>
      <c r="H541" s="277">
        <f t="shared" si="272"/>
        <v>27490.041328957006</v>
      </c>
      <c r="I541" s="278"/>
      <c r="J541" s="277">
        <f t="shared" si="273"/>
        <v>7541.1713583128612</v>
      </c>
      <c r="K541" s="278"/>
      <c r="L541" s="277">
        <f t="shared" si="274"/>
        <v>1.1916577210917616</v>
      </c>
      <c r="M541" s="281"/>
      <c r="N541" s="281"/>
      <c r="O541" s="279">
        <f>G502/2-L541</f>
        <v>-1.1916577210917616</v>
      </c>
      <c r="P541" s="280"/>
      <c r="Q541" s="280"/>
      <c r="R541" s="277">
        <f>(F541/(G502-2*O541))/10000</f>
        <v>0.7024011943734022</v>
      </c>
      <c r="S541" s="281"/>
      <c r="T541" s="281"/>
      <c r="U541" s="277">
        <f>+D5</f>
        <v>3</v>
      </c>
      <c r="V541" s="278"/>
      <c r="W541" s="7" t="str">
        <f t="shared" si="275"/>
        <v>Ok</v>
      </c>
      <c r="X541" s="8"/>
      <c r="Y541" s="8"/>
      <c r="Z541" s="8"/>
      <c r="AA541" s="8"/>
      <c r="AB541" s="8"/>
      <c r="AC541" s="8"/>
      <c r="AD541" s="8"/>
      <c r="AE541" s="18"/>
      <c r="AF541" s="18"/>
      <c r="AG541" s="18"/>
      <c r="AH541" s="18"/>
      <c r="AI541" s="18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54"/>
      <c r="AW541" s="54"/>
      <c r="AX541" s="54"/>
    </row>
    <row r="542" spans="1:50">
      <c r="A542" s="8"/>
      <c r="B542" s="8"/>
      <c r="C542" s="245" t="s">
        <v>205</v>
      </c>
      <c r="D542" s="245"/>
      <c r="E542" s="245"/>
      <c r="F542" s="277">
        <f t="shared" si="271"/>
        <v>22177.4761315828</v>
      </c>
      <c r="G542" s="278"/>
      <c r="H542" s="277">
        <f t="shared" si="272"/>
        <v>35600.117428957004</v>
      </c>
      <c r="I542" s="278"/>
      <c r="J542" s="277">
        <f t="shared" si="273"/>
        <v>7541.1713583128612</v>
      </c>
      <c r="K542" s="278"/>
      <c r="L542" s="277">
        <f t="shared" si="274"/>
        <v>1.2652001474002526</v>
      </c>
      <c r="M542" s="281"/>
      <c r="N542" s="281"/>
      <c r="O542" s="279">
        <f>G502/2-L542</f>
        <v>-1.2652001474002526</v>
      </c>
      <c r="P542" s="280"/>
      <c r="Q542" s="280"/>
      <c r="R542" s="277">
        <f>(F542/(G502-2*O542))/10000</f>
        <v>0.87644141431509182</v>
      </c>
      <c r="S542" s="281"/>
      <c r="T542" s="281"/>
      <c r="U542" s="277">
        <f>+D5</f>
        <v>3</v>
      </c>
      <c r="V542" s="278"/>
      <c r="W542" s="7" t="str">
        <f t="shared" si="275"/>
        <v>Ok</v>
      </c>
      <c r="X542" s="8"/>
      <c r="Y542" s="8"/>
      <c r="Z542" s="8"/>
      <c r="AA542" s="8"/>
      <c r="AB542" s="8"/>
      <c r="AC542" s="8"/>
      <c r="AD542" s="8"/>
      <c r="AE542" s="18"/>
      <c r="AF542" s="18"/>
      <c r="AG542" s="18"/>
      <c r="AH542" s="18"/>
      <c r="AI542" s="18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54"/>
      <c r="AW542" s="54"/>
      <c r="AX542" s="54"/>
    </row>
    <row r="543" spans="1:50">
      <c r="A543" s="8"/>
      <c r="B543" s="8"/>
      <c r="C543" s="144" t="s">
        <v>290</v>
      </c>
      <c r="D543" s="18" t="s">
        <v>291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18"/>
      <c r="AF543" s="18"/>
      <c r="AG543" s="18"/>
      <c r="AH543" s="18"/>
      <c r="AI543" s="18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54"/>
      <c r="AW543" s="54"/>
      <c r="AX543" s="54"/>
    </row>
  </sheetData>
  <mergeCells count="1252">
    <mergeCell ref="B23:F23"/>
    <mergeCell ref="F9:H9"/>
    <mergeCell ref="B3:E4"/>
    <mergeCell ref="A1:AH1"/>
    <mergeCell ref="C542:E542"/>
    <mergeCell ref="F542:G542"/>
    <mergeCell ref="H542:I542"/>
    <mergeCell ref="J542:K542"/>
    <mergeCell ref="L542:N542"/>
    <mergeCell ref="O542:Q542"/>
    <mergeCell ref="R542:T542"/>
    <mergeCell ref="U542:V542"/>
    <mergeCell ref="C507:X508"/>
    <mergeCell ref="I514:J514"/>
    <mergeCell ref="C520:H520"/>
    <mergeCell ref="F526:K526"/>
    <mergeCell ref="I533:J533"/>
    <mergeCell ref="C540:E540"/>
    <mergeCell ref="F540:G540"/>
    <mergeCell ref="H540:I540"/>
    <mergeCell ref="J540:K540"/>
    <mergeCell ref="L540:N540"/>
    <mergeCell ref="O540:Q540"/>
    <mergeCell ref="R540:T540"/>
    <mergeCell ref="U540:V540"/>
    <mergeCell ref="C541:E541"/>
    <mergeCell ref="F541:G541"/>
    <mergeCell ref="H541:I541"/>
    <mergeCell ref="J541:K541"/>
    <mergeCell ref="L541:N541"/>
    <mergeCell ref="O541:Q541"/>
    <mergeCell ref="R541:T541"/>
    <mergeCell ref="U541:V541"/>
    <mergeCell ref="O537:Q538"/>
    <mergeCell ref="R537:T538"/>
    <mergeCell ref="U537:V537"/>
    <mergeCell ref="F538:G538"/>
    <mergeCell ref="H538:I538"/>
    <mergeCell ref="J538:K538"/>
    <mergeCell ref="U538:V538"/>
    <mergeCell ref="C539:E539"/>
    <mergeCell ref="F539:G539"/>
    <mergeCell ref="H539:I539"/>
    <mergeCell ref="J539:K539"/>
    <mergeCell ref="L539:N539"/>
    <mergeCell ref="O539:Q539"/>
    <mergeCell ref="R539:T539"/>
    <mergeCell ref="U539:V539"/>
    <mergeCell ref="C505:E505"/>
    <mergeCell ref="F505:G505"/>
    <mergeCell ref="H505:J505"/>
    <mergeCell ref="K505:M505"/>
    <mergeCell ref="C537:E538"/>
    <mergeCell ref="F537:G537"/>
    <mergeCell ref="H537:I537"/>
    <mergeCell ref="J537:K537"/>
    <mergeCell ref="L537:N538"/>
    <mergeCell ref="C502:E502"/>
    <mergeCell ref="F502:G502"/>
    <mergeCell ref="H502:J502"/>
    <mergeCell ref="K502:M502"/>
    <mergeCell ref="C503:E503"/>
    <mergeCell ref="F503:G503"/>
    <mergeCell ref="H503:J503"/>
    <mergeCell ref="K503:M503"/>
    <mergeCell ref="C504:E504"/>
    <mergeCell ref="F504:G504"/>
    <mergeCell ref="H504:J504"/>
    <mergeCell ref="K504:M504"/>
    <mergeCell ref="I497:J497"/>
    <mergeCell ref="G498:H498"/>
    <mergeCell ref="I498:K498"/>
    <mergeCell ref="C500:E501"/>
    <mergeCell ref="F500:G500"/>
    <mergeCell ref="H500:J501"/>
    <mergeCell ref="K500:M500"/>
    <mergeCell ref="F501:G501"/>
    <mergeCell ref="K501:M501"/>
    <mergeCell ref="C491:E491"/>
    <mergeCell ref="F491:G491"/>
    <mergeCell ref="H491:I491"/>
    <mergeCell ref="J491:K491"/>
    <mergeCell ref="L491:N491"/>
    <mergeCell ref="O491:Q491"/>
    <mergeCell ref="R491:T491"/>
    <mergeCell ref="C492:E492"/>
    <mergeCell ref="F492:G492"/>
    <mergeCell ref="H492:I492"/>
    <mergeCell ref="J492:K492"/>
    <mergeCell ref="L492:N492"/>
    <mergeCell ref="O492:Q492"/>
    <mergeCell ref="R492:T492"/>
    <mergeCell ref="C489:E489"/>
    <mergeCell ref="F489:G489"/>
    <mergeCell ref="H489:I489"/>
    <mergeCell ref="J489:K489"/>
    <mergeCell ref="L489:N489"/>
    <mergeCell ref="O489:Q489"/>
    <mergeCell ref="R489:T489"/>
    <mergeCell ref="C490:E490"/>
    <mergeCell ref="F490:G490"/>
    <mergeCell ref="H490:I490"/>
    <mergeCell ref="J490:K490"/>
    <mergeCell ref="L490:N490"/>
    <mergeCell ref="O490:Q490"/>
    <mergeCell ref="R490:T490"/>
    <mergeCell ref="C487:E488"/>
    <mergeCell ref="F487:G487"/>
    <mergeCell ref="H487:I487"/>
    <mergeCell ref="J487:K487"/>
    <mergeCell ref="L487:N488"/>
    <mergeCell ref="O487:Q488"/>
    <mergeCell ref="R487:T488"/>
    <mergeCell ref="F488:G488"/>
    <mergeCell ref="H488:I488"/>
    <mergeCell ref="J488:K488"/>
    <mergeCell ref="B481:C481"/>
    <mergeCell ref="D481:E481"/>
    <mergeCell ref="F481:G481"/>
    <mergeCell ref="H481:I481"/>
    <mergeCell ref="J481:L482"/>
    <mergeCell ref="B482:C482"/>
    <mergeCell ref="D482:E482"/>
    <mergeCell ref="F482:G482"/>
    <mergeCell ref="H482:I482"/>
    <mergeCell ref="B479:C479"/>
    <mergeCell ref="D479:E479"/>
    <mergeCell ref="F479:G479"/>
    <mergeCell ref="H479:I479"/>
    <mergeCell ref="J479:L480"/>
    <mergeCell ref="B480:C480"/>
    <mergeCell ref="D480:E480"/>
    <mergeCell ref="F480:G480"/>
    <mergeCell ref="H480:I480"/>
    <mergeCell ref="B477:C477"/>
    <mergeCell ref="D477:E477"/>
    <mergeCell ref="F477:G477"/>
    <mergeCell ref="H477:I477"/>
    <mergeCell ref="J477:L478"/>
    <mergeCell ref="B478:C478"/>
    <mergeCell ref="D478:E478"/>
    <mergeCell ref="F478:G478"/>
    <mergeCell ref="H478:I478"/>
    <mergeCell ref="B474:C474"/>
    <mergeCell ref="D474:E474"/>
    <mergeCell ref="F474:G474"/>
    <mergeCell ref="H474:I474"/>
    <mergeCell ref="J474:L474"/>
    <mergeCell ref="B475:C475"/>
    <mergeCell ref="D475:E475"/>
    <mergeCell ref="F475:G475"/>
    <mergeCell ref="H475:I475"/>
    <mergeCell ref="J475:L476"/>
    <mergeCell ref="B476:C476"/>
    <mergeCell ref="D476:E476"/>
    <mergeCell ref="F476:G476"/>
    <mergeCell ref="H476:I476"/>
    <mergeCell ref="B471:L471"/>
    <mergeCell ref="B472:C472"/>
    <mergeCell ref="D472:G472"/>
    <mergeCell ref="H472:I472"/>
    <mergeCell ref="J472:L473"/>
    <mergeCell ref="B473:C473"/>
    <mergeCell ref="D473:E473"/>
    <mergeCell ref="F473:G473"/>
    <mergeCell ref="H473:I473"/>
    <mergeCell ref="B468:C468"/>
    <mergeCell ref="D468:E468"/>
    <mergeCell ref="F468:G468"/>
    <mergeCell ref="H468:I468"/>
    <mergeCell ref="J468:L469"/>
    <mergeCell ref="B469:C469"/>
    <mergeCell ref="D469:E469"/>
    <mergeCell ref="F469:G469"/>
    <mergeCell ref="H469:I469"/>
    <mergeCell ref="B466:C466"/>
    <mergeCell ref="D466:E466"/>
    <mergeCell ref="F466:G466"/>
    <mergeCell ref="H466:I466"/>
    <mergeCell ref="J466:L467"/>
    <mergeCell ref="B467:C467"/>
    <mergeCell ref="D467:E467"/>
    <mergeCell ref="F467:G467"/>
    <mergeCell ref="H467:I467"/>
    <mergeCell ref="B464:C464"/>
    <mergeCell ref="D464:E464"/>
    <mergeCell ref="F464:G464"/>
    <mergeCell ref="H464:I464"/>
    <mergeCell ref="J464:L465"/>
    <mergeCell ref="B465:C465"/>
    <mergeCell ref="D465:E465"/>
    <mergeCell ref="F465:G465"/>
    <mergeCell ref="H465:I465"/>
    <mergeCell ref="B461:C461"/>
    <mergeCell ref="D461:E461"/>
    <mergeCell ref="F461:G461"/>
    <mergeCell ref="H461:I461"/>
    <mergeCell ref="J461:L461"/>
    <mergeCell ref="B462:C462"/>
    <mergeCell ref="D462:E462"/>
    <mergeCell ref="F462:G462"/>
    <mergeCell ref="H462:I462"/>
    <mergeCell ref="J462:L463"/>
    <mergeCell ref="B463:C463"/>
    <mergeCell ref="D463:E463"/>
    <mergeCell ref="F463:G463"/>
    <mergeCell ref="H463:I463"/>
    <mergeCell ref="B459:C459"/>
    <mergeCell ref="D459:G459"/>
    <mergeCell ref="H459:I459"/>
    <mergeCell ref="J459:L460"/>
    <mergeCell ref="B460:C460"/>
    <mergeCell ref="D460:E460"/>
    <mergeCell ref="F460:G460"/>
    <mergeCell ref="H460:I460"/>
    <mergeCell ref="B458:L458"/>
    <mergeCell ref="B454:C454"/>
    <mergeCell ref="D454:E454"/>
    <mergeCell ref="F454:G454"/>
    <mergeCell ref="H454:I454"/>
    <mergeCell ref="J454:K454"/>
    <mergeCell ref="L454:M454"/>
    <mergeCell ref="N454:O454"/>
    <mergeCell ref="P454:Q454"/>
    <mergeCell ref="R454:T455"/>
    <mergeCell ref="B455:C455"/>
    <mergeCell ref="D455:E455"/>
    <mergeCell ref="F455:G455"/>
    <mergeCell ref="H455:I455"/>
    <mergeCell ref="J455:K455"/>
    <mergeCell ref="L455:M455"/>
    <mergeCell ref="N455:O455"/>
    <mergeCell ref="P455:Q455"/>
    <mergeCell ref="B452:C452"/>
    <mergeCell ref="D452:E452"/>
    <mergeCell ref="F452:G452"/>
    <mergeCell ref="H452:I452"/>
    <mergeCell ref="J452:K452"/>
    <mergeCell ref="L452:M452"/>
    <mergeCell ref="N452:O452"/>
    <mergeCell ref="P452:Q452"/>
    <mergeCell ref="R452:T453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T451"/>
    <mergeCell ref="B451:C451"/>
    <mergeCell ref="D451:E451"/>
    <mergeCell ref="F451:G451"/>
    <mergeCell ref="H451:I451"/>
    <mergeCell ref="J451:K451"/>
    <mergeCell ref="L451:M451"/>
    <mergeCell ref="N451:O451"/>
    <mergeCell ref="P451:Q451"/>
    <mergeCell ref="B448:C448"/>
    <mergeCell ref="D448:E448"/>
    <mergeCell ref="F448:G448"/>
    <mergeCell ref="H448:I448"/>
    <mergeCell ref="J448:K448"/>
    <mergeCell ref="L448:M448"/>
    <mergeCell ref="N448:O448"/>
    <mergeCell ref="P448:Q448"/>
    <mergeCell ref="R448:T449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B447:C447"/>
    <mergeCell ref="D447:E447"/>
    <mergeCell ref="F447:G447"/>
    <mergeCell ref="H447:I447"/>
    <mergeCell ref="J447:K447"/>
    <mergeCell ref="L447:M447"/>
    <mergeCell ref="N447:O447"/>
    <mergeCell ref="P447:Q447"/>
    <mergeCell ref="R447:T447"/>
    <mergeCell ref="D432:G432"/>
    <mergeCell ref="B431:T431"/>
    <mergeCell ref="B444:T444"/>
    <mergeCell ref="B445:C445"/>
    <mergeCell ref="D445:G445"/>
    <mergeCell ref="H445:I445"/>
    <mergeCell ref="J445:M445"/>
    <mergeCell ref="N445:Q445"/>
    <mergeCell ref="R445:T446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N441:O441"/>
    <mergeCell ref="P441:Q441"/>
    <mergeCell ref="R441:T442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B441:C441"/>
    <mergeCell ref="D441:E441"/>
    <mergeCell ref="F441:G441"/>
    <mergeCell ref="H441:I441"/>
    <mergeCell ref="J441:K441"/>
    <mergeCell ref="L441:M441"/>
    <mergeCell ref="N439:O439"/>
    <mergeCell ref="P439:Q439"/>
    <mergeCell ref="R439:T440"/>
    <mergeCell ref="B440:C440"/>
    <mergeCell ref="D440:E440"/>
    <mergeCell ref="F440:G440"/>
    <mergeCell ref="H440:I440"/>
    <mergeCell ref="J440:K440"/>
    <mergeCell ref="L440:M440"/>
    <mergeCell ref="N440:O440"/>
    <mergeCell ref="P440:Q440"/>
    <mergeCell ref="B439:C439"/>
    <mergeCell ref="D439:E439"/>
    <mergeCell ref="F439:G439"/>
    <mergeCell ref="H439:I439"/>
    <mergeCell ref="J439:K439"/>
    <mergeCell ref="L439:M439"/>
    <mergeCell ref="N437:O437"/>
    <mergeCell ref="P437:Q437"/>
    <mergeCell ref="R437:T438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B437:C437"/>
    <mergeCell ref="D437:E437"/>
    <mergeCell ref="F437:G437"/>
    <mergeCell ref="H437:I437"/>
    <mergeCell ref="J437:K437"/>
    <mergeCell ref="L437:M437"/>
    <mergeCell ref="R434:T434"/>
    <mergeCell ref="B435:C435"/>
    <mergeCell ref="D435:E435"/>
    <mergeCell ref="F435:G435"/>
    <mergeCell ref="H435:I435"/>
    <mergeCell ref="J435:K435"/>
    <mergeCell ref="L435:M435"/>
    <mergeCell ref="N435:O435"/>
    <mergeCell ref="P435:Q435"/>
    <mergeCell ref="R435:T436"/>
    <mergeCell ref="B436:C436"/>
    <mergeCell ref="D436:E436"/>
    <mergeCell ref="F436:G436"/>
    <mergeCell ref="H436:I436"/>
    <mergeCell ref="J436:K436"/>
    <mergeCell ref="L436:M436"/>
    <mergeCell ref="N436:O436"/>
    <mergeCell ref="P436:Q436"/>
    <mergeCell ref="N433:O433"/>
    <mergeCell ref="P433:Q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U421:V421"/>
    <mergeCell ref="U422:V422"/>
    <mergeCell ref="U423:V423"/>
    <mergeCell ref="U424:V424"/>
    <mergeCell ref="P416:R416"/>
    <mergeCell ref="N412:N413"/>
    <mergeCell ref="B432:C432"/>
    <mergeCell ref="H432:I432"/>
    <mergeCell ref="J432:M432"/>
    <mergeCell ref="N432:Q432"/>
    <mergeCell ref="R432:T433"/>
    <mergeCell ref="B433:C433"/>
    <mergeCell ref="D433:E433"/>
    <mergeCell ref="F433:G433"/>
    <mergeCell ref="H433:I433"/>
    <mergeCell ref="J433:K433"/>
    <mergeCell ref="L433:M433"/>
    <mergeCell ref="C423:E423"/>
    <mergeCell ref="F423:G423"/>
    <mergeCell ref="H423:I423"/>
    <mergeCell ref="J423:K423"/>
    <mergeCell ref="L423:N423"/>
    <mergeCell ref="C424:E424"/>
    <mergeCell ref="F424:G424"/>
    <mergeCell ref="H424:I424"/>
    <mergeCell ref="J424:K424"/>
    <mergeCell ref="L424:N424"/>
    <mergeCell ref="O424:Q424"/>
    <mergeCell ref="R424:T424"/>
    <mergeCell ref="C421:E421"/>
    <mergeCell ref="F421:G421"/>
    <mergeCell ref="H421:I421"/>
    <mergeCell ref="J421:K421"/>
    <mergeCell ref="L421:N421"/>
    <mergeCell ref="O421:Q421"/>
    <mergeCell ref="R421:T421"/>
    <mergeCell ref="C422:E422"/>
    <mergeCell ref="F422:G422"/>
    <mergeCell ref="H422:I422"/>
    <mergeCell ref="J422:K422"/>
    <mergeCell ref="L422:N422"/>
    <mergeCell ref="O422:Q422"/>
    <mergeCell ref="R422:T422"/>
    <mergeCell ref="R414:T414"/>
    <mergeCell ref="C419:E420"/>
    <mergeCell ref="F419:G419"/>
    <mergeCell ref="H419:I419"/>
    <mergeCell ref="J419:K419"/>
    <mergeCell ref="L419:N420"/>
    <mergeCell ref="O419:Q420"/>
    <mergeCell ref="R419:T420"/>
    <mergeCell ref="F420:G420"/>
    <mergeCell ref="H420:I420"/>
    <mergeCell ref="J420:K420"/>
    <mergeCell ref="U419:V419"/>
    <mergeCell ref="U420:V420"/>
    <mergeCell ref="C394:E394"/>
    <mergeCell ref="F394:G394"/>
    <mergeCell ref="K394:M394"/>
    <mergeCell ref="O423:Q423"/>
    <mergeCell ref="R423:T423"/>
    <mergeCell ref="H392:J392"/>
    <mergeCell ref="H393:J393"/>
    <mergeCell ref="H394:J394"/>
    <mergeCell ref="C392:E392"/>
    <mergeCell ref="F392:G392"/>
    <mergeCell ref="K392:M392"/>
    <mergeCell ref="C393:E393"/>
    <mergeCell ref="F393:G393"/>
    <mergeCell ref="K393:M393"/>
    <mergeCell ref="F390:G390"/>
    <mergeCell ref="C391:E391"/>
    <mergeCell ref="F391:G391"/>
    <mergeCell ref="K391:M391"/>
    <mergeCell ref="O406:P406"/>
    <mergeCell ref="G413:H413"/>
    <mergeCell ref="O414:Q414"/>
    <mergeCell ref="C389:E390"/>
    <mergeCell ref="F389:G389"/>
    <mergeCell ref="R365:T365"/>
    <mergeCell ref="R366:T366"/>
    <mergeCell ref="G376:H376"/>
    <mergeCell ref="J361:K361"/>
    <mergeCell ref="J362:K362"/>
    <mergeCell ref="J363:K363"/>
    <mergeCell ref="J364:K364"/>
    <mergeCell ref="J365:K365"/>
    <mergeCell ref="J366:K366"/>
    <mergeCell ref="L361:N362"/>
    <mergeCell ref="L363:N363"/>
    <mergeCell ref="L364:N364"/>
    <mergeCell ref="L365:N365"/>
    <mergeCell ref="L366:N366"/>
    <mergeCell ref="O361:Q362"/>
    <mergeCell ref="O363:Q363"/>
    <mergeCell ref="H391:J391"/>
    <mergeCell ref="C365:E365"/>
    <mergeCell ref="C366:E366"/>
    <mergeCell ref="F365:G365"/>
    <mergeCell ref="F366:G366"/>
    <mergeCell ref="H365:I365"/>
    <mergeCell ref="H366:I366"/>
    <mergeCell ref="O365:Q365"/>
    <mergeCell ref="O366:Q366"/>
    <mergeCell ref="C363:E363"/>
    <mergeCell ref="C364:E364"/>
    <mergeCell ref="K389:M389"/>
    <mergeCell ref="K390:M390"/>
    <mergeCell ref="H389:J390"/>
    <mergeCell ref="O331:P331"/>
    <mergeCell ref="Q332:S332"/>
    <mergeCell ref="Q333:S334"/>
    <mergeCell ref="Q335:S336"/>
    <mergeCell ref="Q337:S338"/>
    <mergeCell ref="Q339:S340"/>
    <mergeCell ref="I336:J336"/>
    <mergeCell ref="K336:L336"/>
    <mergeCell ref="M336:N336"/>
    <mergeCell ref="O336:P336"/>
    <mergeCell ref="C335:D335"/>
    <mergeCell ref="E335:F335"/>
    <mergeCell ref="G335:H335"/>
    <mergeCell ref="I335:J335"/>
    <mergeCell ref="K335:L335"/>
    <mergeCell ref="M335:N335"/>
    <mergeCell ref="G387:H387"/>
    <mergeCell ref="I386:J386"/>
    <mergeCell ref="I387:K387"/>
    <mergeCell ref="K337:L337"/>
    <mergeCell ref="M337:N337"/>
    <mergeCell ref="O337:P337"/>
    <mergeCell ref="C336:D336"/>
    <mergeCell ref="E336:F336"/>
    <mergeCell ref="G336:H336"/>
    <mergeCell ref="F363:G363"/>
    <mergeCell ref="F364:G364"/>
    <mergeCell ref="H363:I363"/>
    <mergeCell ref="H364:I364"/>
    <mergeCell ref="O364:Q364"/>
    <mergeCell ref="R363:T363"/>
    <mergeCell ref="C361:E362"/>
    <mergeCell ref="F361:G361"/>
    <mergeCell ref="F362:G362"/>
    <mergeCell ref="H361:I361"/>
    <mergeCell ref="H362:I362"/>
    <mergeCell ref="R361:T362"/>
    <mergeCell ref="H359:I359"/>
    <mergeCell ref="P359:R359"/>
    <mergeCell ref="S359:U359"/>
    <mergeCell ref="P352:Q352"/>
    <mergeCell ref="C340:D340"/>
    <mergeCell ref="E340:F340"/>
    <mergeCell ref="G340:H340"/>
    <mergeCell ref="I340:J340"/>
    <mergeCell ref="K340:L340"/>
    <mergeCell ref="M340:N340"/>
    <mergeCell ref="R364:T364"/>
    <mergeCell ref="O340:P340"/>
    <mergeCell ref="C339:D339"/>
    <mergeCell ref="E339:F339"/>
    <mergeCell ref="G339:H339"/>
    <mergeCell ref="I339:J339"/>
    <mergeCell ref="K339:L339"/>
    <mergeCell ref="M339:N339"/>
    <mergeCell ref="O339:P339"/>
    <mergeCell ref="C338:D338"/>
    <mergeCell ref="E338:F338"/>
    <mergeCell ref="G338:H338"/>
    <mergeCell ref="I338:J338"/>
    <mergeCell ref="K338:L338"/>
    <mergeCell ref="M338:N338"/>
    <mergeCell ref="O338:P338"/>
    <mergeCell ref="O335:P335"/>
    <mergeCell ref="C333:D333"/>
    <mergeCell ref="E333:F333"/>
    <mergeCell ref="G333:H333"/>
    <mergeCell ref="I333:J333"/>
    <mergeCell ref="K333:L333"/>
    <mergeCell ref="M333:N333"/>
    <mergeCell ref="O333:P333"/>
    <mergeCell ref="C334:D334"/>
    <mergeCell ref="E334:F334"/>
    <mergeCell ref="G334:H334"/>
    <mergeCell ref="I334:J334"/>
    <mergeCell ref="K334:L334"/>
    <mergeCell ref="M334:N334"/>
    <mergeCell ref="O334:P334"/>
    <mergeCell ref="C337:D337"/>
    <mergeCell ref="E337:F337"/>
    <mergeCell ref="G337:H337"/>
    <mergeCell ref="I337:J337"/>
    <mergeCell ref="C332:D332"/>
    <mergeCell ref="E332:F332"/>
    <mergeCell ref="G332:H332"/>
    <mergeCell ref="I332:J332"/>
    <mergeCell ref="K332:L332"/>
    <mergeCell ref="M332:N332"/>
    <mergeCell ref="O332:P332"/>
    <mergeCell ref="C327:D327"/>
    <mergeCell ref="I330:J330"/>
    <mergeCell ref="K330:L330"/>
    <mergeCell ref="M330:N330"/>
    <mergeCell ref="O330:P330"/>
    <mergeCell ref="Q326:S327"/>
    <mergeCell ref="C330:D330"/>
    <mergeCell ref="E330:H330"/>
    <mergeCell ref="Q330:S331"/>
    <mergeCell ref="C331:D331"/>
    <mergeCell ref="E331:F331"/>
    <mergeCell ref="G331:H331"/>
    <mergeCell ref="I331:J331"/>
    <mergeCell ref="K331:L331"/>
    <mergeCell ref="M331:N331"/>
    <mergeCell ref="C326:D326"/>
    <mergeCell ref="C325:D325"/>
    <mergeCell ref="Q324:S325"/>
    <mergeCell ref="E325:F325"/>
    <mergeCell ref="G325:H325"/>
    <mergeCell ref="I325:J325"/>
    <mergeCell ref="K325:L325"/>
    <mergeCell ref="M325:N325"/>
    <mergeCell ref="O325:P325"/>
    <mergeCell ref="C324:D324"/>
    <mergeCell ref="E327:F327"/>
    <mergeCell ref="G327:H327"/>
    <mergeCell ref="I327:J327"/>
    <mergeCell ref="K327:L327"/>
    <mergeCell ref="M327:N327"/>
    <mergeCell ref="O327:P327"/>
    <mergeCell ref="C329:S329"/>
    <mergeCell ref="C323:D323"/>
    <mergeCell ref="E326:F326"/>
    <mergeCell ref="G326:H326"/>
    <mergeCell ref="I326:J326"/>
    <mergeCell ref="K326:L326"/>
    <mergeCell ref="M326:N326"/>
    <mergeCell ref="O326:P326"/>
    <mergeCell ref="Q322:S323"/>
    <mergeCell ref="E323:F323"/>
    <mergeCell ref="G323:H323"/>
    <mergeCell ref="I323:J323"/>
    <mergeCell ref="K323:L323"/>
    <mergeCell ref="M323:N323"/>
    <mergeCell ref="O323:P323"/>
    <mergeCell ref="C322:D322"/>
    <mergeCell ref="E324:F324"/>
    <mergeCell ref="G324:H324"/>
    <mergeCell ref="I324:J324"/>
    <mergeCell ref="K324:L324"/>
    <mergeCell ref="M324:N324"/>
    <mergeCell ref="O324:P324"/>
    <mergeCell ref="Q320:S321"/>
    <mergeCell ref="E321:F321"/>
    <mergeCell ref="G321:H321"/>
    <mergeCell ref="I321:J321"/>
    <mergeCell ref="K321:L321"/>
    <mergeCell ref="M321:N321"/>
    <mergeCell ref="O321:P321"/>
    <mergeCell ref="Q319:S319"/>
    <mergeCell ref="C320:D320"/>
    <mergeCell ref="E320:F320"/>
    <mergeCell ref="G320:H320"/>
    <mergeCell ref="I320:J320"/>
    <mergeCell ref="K320:L320"/>
    <mergeCell ref="M320:N320"/>
    <mergeCell ref="O320:P320"/>
    <mergeCell ref="C321:D321"/>
    <mergeCell ref="E322:F322"/>
    <mergeCell ref="G322:H322"/>
    <mergeCell ref="I322:J322"/>
    <mergeCell ref="K322:L322"/>
    <mergeCell ref="M322:N322"/>
    <mergeCell ref="O322:P322"/>
    <mergeCell ref="C319:D319"/>
    <mergeCell ref="E319:F319"/>
    <mergeCell ref="G319:H319"/>
    <mergeCell ref="I319:J319"/>
    <mergeCell ref="K319:L319"/>
    <mergeCell ref="M319:N319"/>
    <mergeCell ref="O319:P319"/>
    <mergeCell ref="C317:D317"/>
    <mergeCell ref="K317:L317"/>
    <mergeCell ref="M317:N317"/>
    <mergeCell ref="Q317:S318"/>
    <mergeCell ref="C318:D318"/>
    <mergeCell ref="E318:F318"/>
    <mergeCell ref="G318:H318"/>
    <mergeCell ref="I318:J318"/>
    <mergeCell ref="K318:L318"/>
    <mergeCell ref="M318:N318"/>
    <mergeCell ref="O318:P318"/>
    <mergeCell ref="E317:H317"/>
    <mergeCell ref="I317:J317"/>
    <mergeCell ref="O317:P317"/>
    <mergeCell ref="C316:S316"/>
    <mergeCell ref="U312:V312"/>
    <mergeCell ref="W312:X312"/>
    <mergeCell ref="Y312:AA313"/>
    <mergeCell ref="C313:D313"/>
    <mergeCell ref="E313:F313"/>
    <mergeCell ref="G313:H313"/>
    <mergeCell ref="I313:J313"/>
    <mergeCell ref="K313:L313"/>
    <mergeCell ref="M313:N313"/>
    <mergeCell ref="O313:P313"/>
    <mergeCell ref="Q313:R313"/>
    <mergeCell ref="S313:T313"/>
    <mergeCell ref="U313:V313"/>
    <mergeCell ref="W313:X313"/>
    <mergeCell ref="C312:D312"/>
    <mergeCell ref="E312:F312"/>
    <mergeCell ref="G312:H312"/>
    <mergeCell ref="I312:J312"/>
    <mergeCell ref="K312:L312"/>
    <mergeCell ref="M312:N312"/>
    <mergeCell ref="O312:P312"/>
    <mergeCell ref="Q312:R312"/>
    <mergeCell ref="S312:T312"/>
    <mergeCell ref="U310:V310"/>
    <mergeCell ref="W310:X310"/>
    <mergeCell ref="Y310:AA311"/>
    <mergeCell ref="C311:D311"/>
    <mergeCell ref="E311:F311"/>
    <mergeCell ref="G311:H311"/>
    <mergeCell ref="I311:J311"/>
    <mergeCell ref="K311:L311"/>
    <mergeCell ref="M311:N311"/>
    <mergeCell ref="O311:P311"/>
    <mergeCell ref="Q311:R311"/>
    <mergeCell ref="S311:T311"/>
    <mergeCell ref="U311:V311"/>
    <mergeCell ref="W311:X311"/>
    <mergeCell ref="C310:D310"/>
    <mergeCell ref="E310:F310"/>
    <mergeCell ref="G310:H310"/>
    <mergeCell ref="I310:J310"/>
    <mergeCell ref="K310:L310"/>
    <mergeCell ref="M310:N310"/>
    <mergeCell ref="O310:P310"/>
    <mergeCell ref="Q310:R310"/>
    <mergeCell ref="S310:T310"/>
    <mergeCell ref="Y308:AA309"/>
    <mergeCell ref="C309:D309"/>
    <mergeCell ref="E309:F309"/>
    <mergeCell ref="G309:H309"/>
    <mergeCell ref="I309:J309"/>
    <mergeCell ref="K309:L309"/>
    <mergeCell ref="M309:N309"/>
    <mergeCell ref="O309:P309"/>
    <mergeCell ref="Q309:R309"/>
    <mergeCell ref="S309:T309"/>
    <mergeCell ref="U309:V309"/>
    <mergeCell ref="W309:X309"/>
    <mergeCell ref="U307:V307"/>
    <mergeCell ref="W307:X307"/>
    <mergeCell ref="C308:D308"/>
    <mergeCell ref="E308:F308"/>
    <mergeCell ref="G308:H308"/>
    <mergeCell ref="I308:J308"/>
    <mergeCell ref="K308:L308"/>
    <mergeCell ref="M308:N308"/>
    <mergeCell ref="O308:P308"/>
    <mergeCell ref="Q308:R308"/>
    <mergeCell ref="S308:T308"/>
    <mergeCell ref="U308:V308"/>
    <mergeCell ref="W308:X308"/>
    <mergeCell ref="U305:V305"/>
    <mergeCell ref="W305:X305"/>
    <mergeCell ref="Y305:AA305"/>
    <mergeCell ref="C306:D306"/>
    <mergeCell ref="E306:F306"/>
    <mergeCell ref="G306:H306"/>
    <mergeCell ref="I306:J306"/>
    <mergeCell ref="K306:L306"/>
    <mergeCell ref="M306:N306"/>
    <mergeCell ref="O306:P306"/>
    <mergeCell ref="Q306:R306"/>
    <mergeCell ref="S306:T306"/>
    <mergeCell ref="U306:V306"/>
    <mergeCell ref="W306:X306"/>
    <mergeCell ref="Y306:AA307"/>
    <mergeCell ref="C307:D307"/>
    <mergeCell ref="E307:F307"/>
    <mergeCell ref="G307:H307"/>
    <mergeCell ref="I307:J307"/>
    <mergeCell ref="K307:L307"/>
    <mergeCell ref="M307:N307"/>
    <mergeCell ref="O307:P307"/>
    <mergeCell ref="Q307:R307"/>
    <mergeCell ref="S307:T307"/>
    <mergeCell ref="C305:D305"/>
    <mergeCell ref="E305:F305"/>
    <mergeCell ref="G305:H305"/>
    <mergeCell ref="I305:J305"/>
    <mergeCell ref="K305:L305"/>
    <mergeCell ref="M305:N305"/>
    <mergeCell ref="O305:P305"/>
    <mergeCell ref="Q305:R305"/>
    <mergeCell ref="S305:T305"/>
    <mergeCell ref="Y299:AA300"/>
    <mergeCell ref="C289:AA289"/>
    <mergeCell ref="C302:AA302"/>
    <mergeCell ref="C303:D303"/>
    <mergeCell ref="E303:J303"/>
    <mergeCell ref="K303:L303"/>
    <mergeCell ref="M303:N303"/>
    <mergeCell ref="O303:R303"/>
    <mergeCell ref="S303:T303"/>
    <mergeCell ref="U303:X303"/>
    <mergeCell ref="Y303:AA304"/>
    <mergeCell ref="C304:D304"/>
    <mergeCell ref="E304:F304"/>
    <mergeCell ref="G304:H304"/>
    <mergeCell ref="I304:J304"/>
    <mergeCell ref="K304:L304"/>
    <mergeCell ref="M304:N304"/>
    <mergeCell ref="O304:P304"/>
    <mergeCell ref="Q304:R304"/>
    <mergeCell ref="S304:T304"/>
    <mergeCell ref="U304:V304"/>
    <mergeCell ref="W304:X304"/>
    <mergeCell ref="O299:P299"/>
    <mergeCell ref="Q299:R299"/>
    <mergeCell ref="S299:T299"/>
    <mergeCell ref="U299:V299"/>
    <mergeCell ref="W299:X299"/>
    <mergeCell ref="E300:F300"/>
    <mergeCell ref="G300:H300"/>
    <mergeCell ref="I300:J300"/>
    <mergeCell ref="K300:L300"/>
    <mergeCell ref="M300:N300"/>
    <mergeCell ref="O300:P300"/>
    <mergeCell ref="Q300:R300"/>
    <mergeCell ref="S300:T300"/>
    <mergeCell ref="U300:V300"/>
    <mergeCell ref="W300:X300"/>
    <mergeCell ref="C294:D294"/>
    <mergeCell ref="Y293:AA294"/>
    <mergeCell ref="C295:D295"/>
    <mergeCell ref="C296:D296"/>
    <mergeCell ref="C297:D297"/>
    <mergeCell ref="C298:D298"/>
    <mergeCell ref="C299:D299"/>
    <mergeCell ref="C300:D300"/>
    <mergeCell ref="Y295:AA296"/>
    <mergeCell ref="E298:F298"/>
    <mergeCell ref="G298:H298"/>
    <mergeCell ref="I298:J298"/>
    <mergeCell ref="K298:L298"/>
    <mergeCell ref="M298:N298"/>
    <mergeCell ref="O298:P298"/>
    <mergeCell ref="Q298:R298"/>
    <mergeCell ref="S298:T298"/>
    <mergeCell ref="U298:V298"/>
    <mergeCell ref="W298:X298"/>
    <mergeCell ref="E299:F299"/>
    <mergeCell ref="G299:H299"/>
    <mergeCell ref="I299:J299"/>
    <mergeCell ref="K299:L299"/>
    <mergeCell ref="M299:N299"/>
    <mergeCell ref="O296:P296"/>
    <mergeCell ref="Q296:R296"/>
    <mergeCell ref="W296:X296"/>
    <mergeCell ref="E297:F297"/>
    <mergeCell ref="G297:H297"/>
    <mergeCell ref="I297:J297"/>
    <mergeCell ref="K297:L297"/>
    <mergeCell ref="M297:N297"/>
    <mergeCell ref="O297:P297"/>
    <mergeCell ref="Q297:R297"/>
    <mergeCell ref="S297:T297"/>
    <mergeCell ref="U297:V297"/>
    <mergeCell ref="W297:X297"/>
    <mergeCell ref="Y297:AA298"/>
    <mergeCell ref="E295:F295"/>
    <mergeCell ref="G295:H295"/>
    <mergeCell ref="I295:J295"/>
    <mergeCell ref="K295:L295"/>
    <mergeCell ref="M295:N295"/>
    <mergeCell ref="O295:P295"/>
    <mergeCell ref="Q295:R295"/>
    <mergeCell ref="S295:T295"/>
    <mergeCell ref="U295:V295"/>
    <mergeCell ref="W295:X295"/>
    <mergeCell ref="C291:D291"/>
    <mergeCell ref="C292:D292"/>
    <mergeCell ref="E293:F293"/>
    <mergeCell ref="G293:H293"/>
    <mergeCell ref="I293:J293"/>
    <mergeCell ref="K293:L293"/>
    <mergeCell ref="M293:N293"/>
    <mergeCell ref="O293:P293"/>
    <mergeCell ref="Q293:R293"/>
    <mergeCell ref="S293:T293"/>
    <mergeCell ref="U293:V293"/>
    <mergeCell ref="W293:X293"/>
    <mergeCell ref="C293:D293"/>
    <mergeCell ref="E292:F292"/>
    <mergeCell ref="G292:H292"/>
    <mergeCell ref="I292:J292"/>
    <mergeCell ref="K292:L292"/>
    <mergeCell ref="M292:N292"/>
    <mergeCell ref="O292:P292"/>
    <mergeCell ref="Q292:R292"/>
    <mergeCell ref="S292:T292"/>
    <mergeCell ref="E294:F294"/>
    <mergeCell ref="G294:H294"/>
    <mergeCell ref="I294:J294"/>
    <mergeCell ref="K294:L294"/>
    <mergeCell ref="M294:N294"/>
    <mergeCell ref="O294:P294"/>
    <mergeCell ref="Q294:R294"/>
    <mergeCell ref="S294:T294"/>
    <mergeCell ref="U294:V294"/>
    <mergeCell ref="W294:X294"/>
    <mergeCell ref="E296:F296"/>
    <mergeCell ref="G296:H296"/>
    <mergeCell ref="I296:J296"/>
    <mergeCell ref="K296:L296"/>
    <mergeCell ref="M296:N296"/>
    <mergeCell ref="U290:X290"/>
    <mergeCell ref="Y290:AA291"/>
    <mergeCell ref="E291:F291"/>
    <mergeCell ref="G291:H291"/>
    <mergeCell ref="I291:J291"/>
    <mergeCell ref="K291:L291"/>
    <mergeCell ref="M291:N291"/>
    <mergeCell ref="O291:P291"/>
    <mergeCell ref="Q291:R291"/>
    <mergeCell ref="S291:T291"/>
    <mergeCell ref="U291:V291"/>
    <mergeCell ref="W291:X291"/>
    <mergeCell ref="U292:V292"/>
    <mergeCell ref="W292:X292"/>
    <mergeCell ref="Y292:AA292"/>
    <mergeCell ref="S296:T296"/>
    <mergeCell ref="U296:V296"/>
    <mergeCell ref="O284:P284"/>
    <mergeCell ref="O285:P285"/>
    <mergeCell ref="O286:P286"/>
    <mergeCell ref="E290:J290"/>
    <mergeCell ref="K290:L290"/>
    <mergeCell ref="M290:N290"/>
    <mergeCell ref="O290:R290"/>
    <mergeCell ref="S290:T290"/>
    <mergeCell ref="C282:E282"/>
    <mergeCell ref="C283:E283"/>
    <mergeCell ref="C284:E284"/>
    <mergeCell ref="C285:E285"/>
    <mergeCell ref="C286:E286"/>
    <mergeCell ref="Q283:T283"/>
    <mergeCell ref="Q284:T284"/>
    <mergeCell ref="Q285:T285"/>
    <mergeCell ref="Q286:T286"/>
    <mergeCell ref="Q282:T282"/>
    <mergeCell ref="O283:P283"/>
    <mergeCell ref="O282:P282"/>
    <mergeCell ref="C290:D290"/>
    <mergeCell ref="C276:D276"/>
    <mergeCell ref="E276:F276"/>
    <mergeCell ref="G276:H276"/>
    <mergeCell ref="I276:J276"/>
    <mergeCell ref="K276:M276"/>
    <mergeCell ref="C270:D270"/>
    <mergeCell ref="C274:D274"/>
    <mergeCell ref="E274:F274"/>
    <mergeCell ref="G274:H274"/>
    <mergeCell ref="I274:J274"/>
    <mergeCell ref="K274:M274"/>
    <mergeCell ref="C275:D275"/>
    <mergeCell ref="E275:F275"/>
    <mergeCell ref="G275:H275"/>
    <mergeCell ref="I275:J275"/>
    <mergeCell ref="K275:M275"/>
    <mergeCell ref="C272:D272"/>
    <mergeCell ref="E272:F272"/>
    <mergeCell ref="G272:H272"/>
    <mergeCell ref="I272:J272"/>
    <mergeCell ref="K272:M272"/>
    <mergeCell ref="C273:D273"/>
    <mergeCell ref="E273:F273"/>
    <mergeCell ref="G273:H273"/>
    <mergeCell ref="I273:J273"/>
    <mergeCell ref="K273:M273"/>
    <mergeCell ref="E270:F270"/>
    <mergeCell ref="G270:H270"/>
    <mergeCell ref="I270:J270"/>
    <mergeCell ref="K270:M270"/>
    <mergeCell ref="C271:D271"/>
    <mergeCell ref="E271:F271"/>
    <mergeCell ref="C244:D244"/>
    <mergeCell ref="E244:F244"/>
    <mergeCell ref="G244:H244"/>
    <mergeCell ref="I244:J244"/>
    <mergeCell ref="K244:M244"/>
    <mergeCell ref="G271:H271"/>
    <mergeCell ref="I271:J271"/>
    <mergeCell ref="K271:M271"/>
    <mergeCell ref="C264:R265"/>
    <mergeCell ref="C266:E266"/>
    <mergeCell ref="C268:M268"/>
    <mergeCell ref="C269:D269"/>
    <mergeCell ref="E269:F269"/>
    <mergeCell ref="G269:H269"/>
    <mergeCell ref="I269:J269"/>
    <mergeCell ref="K269:M269"/>
    <mergeCell ref="E241:F241"/>
    <mergeCell ref="G241:H241"/>
    <mergeCell ref="I241:J241"/>
    <mergeCell ref="K241:M241"/>
    <mergeCell ref="E242:F242"/>
    <mergeCell ref="G242:H242"/>
    <mergeCell ref="I242:J242"/>
    <mergeCell ref="K242:M242"/>
    <mergeCell ref="E243:F243"/>
    <mergeCell ref="G243:H243"/>
    <mergeCell ref="I243:J243"/>
    <mergeCell ref="K243:M243"/>
    <mergeCell ref="G237:H237"/>
    <mergeCell ref="I237:J237"/>
    <mergeCell ref="K237:M237"/>
    <mergeCell ref="E238:F238"/>
    <mergeCell ref="G238:H238"/>
    <mergeCell ref="I238:J238"/>
    <mergeCell ref="K238:M238"/>
    <mergeCell ref="E239:F239"/>
    <mergeCell ref="G239:H239"/>
    <mergeCell ref="I239:J239"/>
    <mergeCell ref="K239:M239"/>
    <mergeCell ref="E240:F240"/>
    <mergeCell ref="G240:H240"/>
    <mergeCell ref="I240:J240"/>
    <mergeCell ref="K240:M240"/>
    <mergeCell ref="C242:D242"/>
    <mergeCell ref="C243:D24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23:D223"/>
    <mergeCell ref="F223:H223"/>
    <mergeCell ref="I233:J233"/>
    <mergeCell ref="K233:M233"/>
    <mergeCell ref="C233:D233"/>
    <mergeCell ref="E233:F233"/>
    <mergeCell ref="G233:H233"/>
    <mergeCell ref="C232:M232"/>
    <mergeCell ref="C213:D213"/>
    <mergeCell ref="F213:H213"/>
    <mergeCell ref="J213:K213"/>
    <mergeCell ref="E234:F234"/>
    <mergeCell ref="G234:H234"/>
    <mergeCell ref="I234:J234"/>
    <mergeCell ref="K234:M234"/>
    <mergeCell ref="E235:F235"/>
    <mergeCell ref="G235:H235"/>
    <mergeCell ref="I235:J235"/>
    <mergeCell ref="K235:M235"/>
    <mergeCell ref="E236:F236"/>
    <mergeCell ref="G236:H236"/>
    <mergeCell ref="I236:J236"/>
    <mergeCell ref="K236:M236"/>
    <mergeCell ref="E237:F237"/>
    <mergeCell ref="C211:D211"/>
    <mergeCell ref="E211:F211"/>
    <mergeCell ref="G211:H211"/>
    <mergeCell ref="I211:J211"/>
    <mergeCell ref="K211:M211"/>
    <mergeCell ref="C209:D209"/>
    <mergeCell ref="E209:F209"/>
    <mergeCell ref="G209:H209"/>
    <mergeCell ref="I209:J209"/>
    <mergeCell ref="K209:M209"/>
    <mergeCell ref="C210:D210"/>
    <mergeCell ref="E210:F210"/>
    <mergeCell ref="G210:H210"/>
    <mergeCell ref="I210:J210"/>
    <mergeCell ref="K210:M210"/>
    <mergeCell ref="C203:D203"/>
    <mergeCell ref="F203:H203"/>
    <mergeCell ref="C207:D207"/>
    <mergeCell ref="E207:F207"/>
    <mergeCell ref="G207:H207"/>
    <mergeCell ref="I207:J207"/>
    <mergeCell ref="K207:M207"/>
    <mergeCell ref="C208:D208"/>
    <mergeCell ref="E208:F208"/>
    <mergeCell ref="G208:H208"/>
    <mergeCell ref="I208:J208"/>
    <mergeCell ref="K208:M208"/>
    <mergeCell ref="C200:D200"/>
    <mergeCell ref="F200:H200"/>
    <mergeCell ref="S107:U107"/>
    <mergeCell ref="S109:U109"/>
    <mergeCell ref="S111:U111"/>
    <mergeCell ref="F194:H194"/>
    <mergeCell ref="J194:K194"/>
    <mergeCell ref="C191:D191"/>
    <mergeCell ref="C192:D192"/>
    <mergeCell ref="E191:F191"/>
    <mergeCell ref="E192:F192"/>
    <mergeCell ref="G191:H191"/>
    <mergeCell ref="G192:H192"/>
    <mergeCell ref="I191:J191"/>
    <mergeCell ref="I192:J192"/>
    <mergeCell ref="K191:M191"/>
    <mergeCell ref="K192:M192"/>
    <mergeCell ref="C189:D189"/>
    <mergeCell ref="C190:D190"/>
    <mergeCell ref="E189:F189"/>
    <mergeCell ref="E190:F190"/>
    <mergeCell ref="G189:H189"/>
    <mergeCell ref="G190:H190"/>
    <mergeCell ref="I189:J189"/>
    <mergeCell ref="I190:J190"/>
    <mergeCell ref="K189:M189"/>
    <mergeCell ref="K190:M190"/>
    <mergeCell ref="E169:G169"/>
    <mergeCell ref="C197:D197"/>
    <mergeCell ref="C194:D194"/>
    <mergeCell ref="C187:D187"/>
    <mergeCell ref="C188:D188"/>
    <mergeCell ref="L197:M197"/>
    <mergeCell ref="I197:J197"/>
    <mergeCell ref="F197:G197"/>
    <mergeCell ref="O197:P197"/>
    <mergeCell ref="P105:Q105"/>
    <mergeCell ref="D106:E106"/>
    <mergeCell ref="F106:G106"/>
    <mergeCell ref="E158:F158"/>
    <mergeCell ref="C157:C158"/>
    <mergeCell ref="D157:D158"/>
    <mergeCell ref="E129:L129"/>
    <mergeCell ref="E126:L126"/>
    <mergeCell ref="E127:L127"/>
    <mergeCell ref="E128:L128"/>
    <mergeCell ref="G109:H109"/>
    <mergeCell ref="G120:H120"/>
    <mergeCell ref="E187:F187"/>
    <mergeCell ref="E188:F188"/>
    <mergeCell ref="G187:H187"/>
    <mergeCell ref="B111:C111"/>
    <mergeCell ref="C117:D117"/>
    <mergeCell ref="F108:G108"/>
    <mergeCell ref="B77:E77"/>
    <mergeCell ref="B71:C71"/>
    <mergeCell ref="E71:F71"/>
    <mergeCell ref="B72:E72"/>
    <mergeCell ref="B75:C75"/>
    <mergeCell ref="E75:F75"/>
    <mergeCell ref="V180:X180"/>
    <mergeCell ref="C174:Q175"/>
    <mergeCell ref="R177:U177"/>
    <mergeCell ref="R178:U178"/>
    <mergeCell ref="R179:U179"/>
    <mergeCell ref="R180:U180"/>
    <mergeCell ref="R174:X176"/>
    <mergeCell ref="V177:X177"/>
    <mergeCell ref="F177:H177"/>
    <mergeCell ref="V178:X178"/>
    <mergeCell ref="V179:X179"/>
    <mergeCell ref="N103:O103"/>
    <mergeCell ref="K85:L85"/>
    <mergeCell ref="G188:H188"/>
    <mergeCell ref="I187:J187"/>
    <mergeCell ref="I188:J188"/>
    <mergeCell ref="K187:M187"/>
    <mergeCell ref="K188:M188"/>
    <mergeCell ref="F178:H178"/>
    <mergeCell ref="B29:F29"/>
    <mergeCell ref="K29:L29"/>
    <mergeCell ref="B31:F31"/>
    <mergeCell ref="H31:I31"/>
    <mergeCell ref="B32:F32"/>
    <mergeCell ref="H32:I32"/>
    <mergeCell ref="I51:J51"/>
    <mergeCell ref="D40:F40"/>
    <mergeCell ref="F43:G43"/>
    <mergeCell ref="H48:I49"/>
    <mergeCell ref="K185:L185"/>
    <mergeCell ref="D105:F105"/>
    <mergeCell ref="B80:C80"/>
    <mergeCell ref="E80:F80"/>
    <mergeCell ref="B81:C81"/>
    <mergeCell ref="E81:F81"/>
    <mergeCell ref="B82:E82"/>
    <mergeCell ref="B76:C76"/>
    <mergeCell ref="E76:F76"/>
    <mergeCell ref="A107:B107"/>
    <mergeCell ref="D107:E107"/>
    <mergeCell ref="H70:I70"/>
    <mergeCell ref="K34:L34"/>
    <mergeCell ref="C115:D115"/>
    <mergeCell ref="C116:D116"/>
    <mergeCell ref="F119:K119"/>
    <mergeCell ref="R46:R47"/>
    <mergeCell ref="S46:T47"/>
    <mergeCell ref="L46:O46"/>
    <mergeCell ref="K36:L36"/>
    <mergeCell ref="K38:L38"/>
    <mergeCell ref="B65:C65"/>
    <mergeCell ref="E65:F65"/>
    <mergeCell ref="N15:O15"/>
    <mergeCell ref="N16:O16"/>
    <mergeCell ref="B27:F27"/>
    <mergeCell ref="K27:L27"/>
    <mergeCell ref="B28:F28"/>
    <mergeCell ref="K28:L28"/>
    <mergeCell ref="B20:F20"/>
    <mergeCell ref="B21:F21"/>
    <mergeCell ref="H20:I20"/>
    <mergeCell ref="H21:I21"/>
    <mergeCell ref="B58:K58"/>
    <mergeCell ref="B60:C60"/>
    <mergeCell ref="E60:F60"/>
    <mergeCell ref="B61:C61"/>
    <mergeCell ref="E61:F61"/>
    <mergeCell ref="B62:E62"/>
    <mergeCell ref="A42:B42"/>
    <mergeCell ref="D41:E41"/>
    <mergeCell ref="D42:E42"/>
    <mergeCell ref="K37:L37"/>
    <mergeCell ref="P40:Q40"/>
    <mergeCell ref="Q46:Q47"/>
    <mergeCell ref="F41:G41"/>
    <mergeCell ref="F37:G37"/>
    <mergeCell ref="F54:K54"/>
    <mergeCell ref="N14:O14"/>
    <mergeCell ref="B15:F15"/>
    <mergeCell ref="B16:F16"/>
    <mergeCell ref="N84:O84"/>
    <mergeCell ref="I99:J99"/>
    <mergeCell ref="I101:J101"/>
    <mergeCell ref="D102:E102"/>
    <mergeCell ref="I102:J102"/>
    <mergeCell ref="I103:J103"/>
    <mergeCell ref="B87:E87"/>
    <mergeCell ref="B90:E90"/>
    <mergeCell ref="F93:G93"/>
    <mergeCell ref="B93:E93"/>
    <mergeCell ref="K84:L84"/>
    <mergeCell ref="D84:E84"/>
    <mergeCell ref="F84:G84"/>
    <mergeCell ref="K107:L107"/>
    <mergeCell ref="K104:L104"/>
    <mergeCell ref="B66:C66"/>
    <mergeCell ref="E66:F66"/>
    <mergeCell ref="B67:E67"/>
    <mergeCell ref="B70:C70"/>
    <mergeCell ref="E70:F70"/>
    <mergeCell ref="H71:I71"/>
    <mergeCell ref="H75:I75"/>
    <mergeCell ref="H76:I76"/>
    <mergeCell ref="C51:D51"/>
    <mergeCell ref="N17:O17"/>
    <mergeCell ref="N18:O18"/>
    <mergeCell ref="H22:I22"/>
    <mergeCell ref="H23:I23"/>
    <mergeCell ref="B22:F22"/>
  </mergeCells>
  <phoneticPr fontId="27" type="noConversion"/>
  <conditionalFormatting sqref="U363:U366">
    <cfRule type="containsText" dxfId="6" priority="7" operator="containsText" text="Error">
      <formula>NOT(ISERROR(SEARCH("Error",U363)))</formula>
    </cfRule>
  </conditionalFormatting>
  <conditionalFormatting sqref="N391:N394">
    <cfRule type="containsText" dxfId="5" priority="6" operator="containsText" text="Error">
      <formula>NOT(ISERROR(SEARCH("Error",N391)))</formula>
    </cfRule>
  </conditionalFormatting>
  <conditionalFormatting sqref="W421:W424">
    <cfRule type="containsText" dxfId="4" priority="5" operator="containsText" text="Error">
      <formula>NOT(ISERROR(SEARCH("Error",W421)))</formula>
    </cfRule>
  </conditionalFormatting>
  <conditionalFormatting sqref="U489:U492">
    <cfRule type="containsText" dxfId="3" priority="4" operator="containsText" text="Error">
      <formula>NOT(ISERROR(SEARCH("Error",U489)))</formula>
    </cfRule>
  </conditionalFormatting>
  <conditionalFormatting sqref="N502:N505">
    <cfRule type="containsText" dxfId="2" priority="3" operator="containsText" text="Error">
      <formula>NOT(ISERROR(SEARCH("Error",N502)))</formula>
    </cfRule>
  </conditionalFormatting>
  <conditionalFormatting sqref="W539:W542">
    <cfRule type="containsText" dxfId="1" priority="2" operator="containsText" text="Error">
      <formula>NOT(ISERROR(SEARCH("Error",W539)))</formula>
    </cfRule>
  </conditionalFormatting>
  <conditionalFormatting sqref="K533">
    <cfRule type="containsText" dxfId="0" priority="1" operator="containsText" text="Error">
      <formula>NOT(ISERROR(SEARCH("Error",K533)))</formula>
    </cfRule>
  </conditionalFormatting>
  <pageMargins left="0.7" right="0.7" top="0.75" bottom="0.75" header="0.3" footer="0.3"/>
  <pageSetup paperSize="9" orientation="portrait" horizontalDpi="360" verticalDpi="360" r:id="rId1"/>
  <ignoredErrors>
    <ignoredError sqref="K29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DISEÑO DE ESTRIBO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CECILIA</dc:creator>
  <cp:lastModifiedBy>ENZO</cp:lastModifiedBy>
  <dcterms:created xsi:type="dcterms:W3CDTF">2022-05-27T18:16:10Z</dcterms:created>
  <dcterms:modified xsi:type="dcterms:W3CDTF">2022-11-09T05:23:42Z</dcterms:modified>
</cp:coreProperties>
</file>