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rvin\Desktop\"/>
    </mc:Choice>
  </mc:AlternateContent>
  <bookViews>
    <workbookView xWindow="120" yWindow="135" windowWidth="9420" windowHeight="4500" tabRatio="910"/>
  </bookViews>
  <sheets>
    <sheet name="Estribo" sheetId="39" r:id="rId1"/>
    <sheet name="siguiente" sheetId="41" r:id="rId2"/>
  </sheets>
  <externalReferences>
    <externalReference r:id="rId3"/>
  </externalReferences>
  <definedNames>
    <definedName name="_xlnm.Print_Area" localSheetId="0">Estribo!$A$1:$BE$275</definedName>
  </definedNames>
  <calcPr calcId="152511"/>
</workbook>
</file>

<file path=xl/calcChain.xml><?xml version="1.0" encoding="utf-8"?>
<calcChain xmlns="http://schemas.openxmlformats.org/spreadsheetml/2006/main">
  <c r="H150" i="39" l="1"/>
  <c r="N154" i="39"/>
  <c r="R15" i="39" l="1"/>
  <c r="F53" i="41" l="1"/>
  <c r="F57" i="41"/>
  <c r="F59" i="41" s="1"/>
  <c r="F58" i="41"/>
  <c r="F62" i="41"/>
  <c r="F64" i="41"/>
  <c r="F65" i="41"/>
  <c r="F67" i="41"/>
  <c r="F68" i="41"/>
  <c r="F74" i="41"/>
  <c r="G81" i="41"/>
  <c r="H81" i="41"/>
  <c r="R81" i="41"/>
  <c r="S81" i="41"/>
  <c r="T81" i="41"/>
  <c r="U81" i="41"/>
  <c r="W81" i="41"/>
  <c r="G82" i="41"/>
  <c r="H82" i="41"/>
  <c r="R82" i="41"/>
  <c r="S82" i="41"/>
  <c r="T82" i="41"/>
  <c r="U82" i="41"/>
  <c r="W82" i="41"/>
  <c r="X82" i="41"/>
  <c r="AE82" i="41"/>
  <c r="B83" i="41"/>
  <c r="G83" i="41"/>
  <c r="H83" i="41"/>
  <c r="F63" i="41" s="1"/>
  <c r="R83" i="41"/>
  <c r="S83" i="41"/>
  <c r="T83" i="41"/>
  <c r="U83" i="41"/>
  <c r="W83" i="41"/>
  <c r="B84" i="41"/>
  <c r="C84" i="41"/>
  <c r="G84" i="41"/>
  <c r="H84" i="41"/>
  <c r="M84" i="41"/>
  <c r="R84" i="41"/>
  <c r="T84" i="41"/>
  <c r="U84" i="41"/>
  <c r="B85" i="41"/>
  <c r="M85" i="41"/>
  <c r="R85" i="41"/>
  <c r="W84" i="41" s="1"/>
  <c r="S85" i="41"/>
  <c r="V85" i="41"/>
  <c r="X85" i="41"/>
  <c r="B86" i="41"/>
  <c r="M86" i="41" s="1"/>
  <c r="C86" i="41"/>
  <c r="S86" i="41"/>
  <c r="M87" i="41"/>
  <c r="R87" i="41"/>
  <c r="T87" i="41"/>
  <c r="U87" i="41"/>
  <c r="C88" i="41"/>
  <c r="M88" i="41"/>
  <c r="R88" i="41"/>
  <c r="W87" i="41" s="1"/>
  <c r="S88" i="41"/>
  <c r="T88" i="41"/>
  <c r="U88" i="41"/>
  <c r="V88" i="41"/>
  <c r="W88" i="41"/>
  <c r="X88" i="41"/>
  <c r="AE88" i="41"/>
  <c r="M89" i="41"/>
  <c r="R89" i="41"/>
  <c r="AD88" i="41" s="1"/>
  <c r="S89" i="41"/>
  <c r="T89" i="41"/>
  <c r="U89" i="41"/>
  <c r="V89" i="41"/>
  <c r="W89" i="41"/>
  <c r="X89" i="41"/>
  <c r="AA89" i="41"/>
  <c r="AB89" i="41"/>
  <c r="AE89" i="41"/>
  <c r="M90" i="41"/>
  <c r="R90" i="41"/>
  <c r="AD89" i="41" s="1"/>
  <c r="S90" i="41"/>
  <c r="T90" i="41"/>
  <c r="U90" i="41"/>
  <c r="AE90" i="41" s="1"/>
  <c r="V90" i="41"/>
  <c r="W90" i="41"/>
  <c r="X90" i="41"/>
  <c r="Y90" i="41"/>
  <c r="M91" i="41"/>
  <c r="R91" i="41"/>
  <c r="AD90" i="41" s="1"/>
  <c r="S91" i="41"/>
  <c r="T91" i="41"/>
  <c r="U91" i="41"/>
  <c r="V91" i="41"/>
  <c r="W91" i="41"/>
  <c r="X91" i="41"/>
  <c r="AA91" i="41"/>
  <c r="AB91" i="41"/>
  <c r="AE91" i="41"/>
  <c r="M92" i="41"/>
  <c r="R92" i="41"/>
  <c r="AD91" i="41" s="1"/>
  <c r="S92" i="41"/>
  <c r="T92" i="41"/>
  <c r="U92" i="41"/>
  <c r="V92" i="41"/>
  <c r="W92" i="41"/>
  <c r="X92" i="41"/>
  <c r="Y92" i="41"/>
  <c r="AC92" i="41"/>
  <c r="AE92" i="41"/>
  <c r="M93" i="41"/>
  <c r="R93" i="41"/>
  <c r="AD92" i="41" s="1"/>
  <c r="S93" i="41"/>
  <c r="T93" i="41"/>
  <c r="U93" i="41"/>
  <c r="AE93" i="41" s="1"/>
  <c r="W93" i="41"/>
  <c r="X93" i="41"/>
  <c r="AA93" i="41" s="1"/>
  <c r="AB93" i="41"/>
  <c r="R94" i="41"/>
  <c r="S94" i="41"/>
  <c r="V93" i="41" s="1"/>
  <c r="V94" i="41"/>
  <c r="X94" i="41"/>
  <c r="R95" i="41"/>
  <c r="S95" i="41"/>
  <c r="W95" i="41"/>
  <c r="R96" i="41"/>
  <c r="S96" i="41"/>
  <c r="T96" i="41"/>
  <c r="W96" i="41"/>
  <c r="AD96" i="41"/>
  <c r="AE96" i="41"/>
  <c r="R97" i="41"/>
  <c r="U96" i="41" s="1"/>
  <c r="S97" i="41"/>
  <c r="T97" i="41"/>
  <c r="V97" i="41"/>
  <c r="W97" i="41"/>
  <c r="X97" i="41"/>
  <c r="R98" i="41"/>
  <c r="S98" i="41"/>
  <c r="U98" i="41"/>
  <c r="AE98" i="41" s="1"/>
  <c r="V98" i="41"/>
  <c r="W98" i="41"/>
  <c r="X98" i="41"/>
  <c r="AD98" i="41"/>
  <c r="R99" i="41"/>
  <c r="S99" i="41"/>
  <c r="T99" i="41"/>
  <c r="V99" i="41"/>
  <c r="W99" i="41"/>
  <c r="X99" i="41"/>
  <c r="R100" i="41"/>
  <c r="S100" i="41"/>
  <c r="U100" i="41"/>
  <c r="AE100" i="41" s="1"/>
  <c r="V100" i="41"/>
  <c r="W100" i="41"/>
  <c r="X100" i="41"/>
  <c r="AD100" i="41"/>
  <c r="R101" i="41"/>
  <c r="S101" i="41"/>
  <c r="T101" i="41"/>
  <c r="V101" i="41"/>
  <c r="W101" i="41"/>
  <c r="X101" i="41"/>
  <c r="R102" i="41"/>
  <c r="S102" i="41"/>
  <c r="U102" i="41"/>
  <c r="AE102" i="41" s="1"/>
  <c r="V102" i="41"/>
  <c r="W102" i="41"/>
  <c r="X102" i="41"/>
  <c r="AD102" i="41"/>
  <c r="R103" i="41"/>
  <c r="S103" i="41"/>
  <c r="T103" i="41"/>
  <c r="V103" i="41"/>
  <c r="W103" i="41"/>
  <c r="X103" i="41"/>
  <c r="R104" i="41"/>
  <c r="S104" i="41"/>
  <c r="U104" i="41"/>
  <c r="AE104" i="41" s="1"/>
  <c r="V104" i="41"/>
  <c r="W104" i="41"/>
  <c r="X104" i="41"/>
  <c r="AD104" i="41"/>
  <c r="R105" i="41"/>
  <c r="S105" i="41"/>
  <c r="T105" i="41"/>
  <c r="V105" i="41"/>
  <c r="W105" i="41"/>
  <c r="X105" i="41"/>
  <c r="R106" i="41"/>
  <c r="S106" i="41"/>
  <c r="U106" i="41"/>
  <c r="AE106" i="41" s="1"/>
  <c r="V106" i="41"/>
  <c r="W106" i="41"/>
  <c r="X106" i="41"/>
  <c r="AD106" i="41"/>
  <c r="R107" i="41"/>
  <c r="S107" i="41"/>
  <c r="T107" i="41"/>
  <c r="W107" i="41"/>
  <c r="X107" i="41"/>
  <c r="Y107" i="41"/>
  <c r="R108" i="41"/>
  <c r="S108" i="41"/>
  <c r="V107" i="41" s="1"/>
  <c r="U108" i="41"/>
  <c r="V108" i="41"/>
  <c r="W108" i="41"/>
  <c r="AD108" i="41"/>
  <c r="AE108" i="41"/>
  <c r="R109" i="41"/>
  <c r="S109" i="41"/>
  <c r="U109" i="41"/>
  <c r="AE109" i="41" s="1"/>
  <c r="W109" i="41"/>
  <c r="R110" i="41"/>
  <c r="S110" i="41"/>
  <c r="W110" i="41"/>
  <c r="R111" i="41"/>
  <c r="S111" i="41"/>
  <c r="T111" i="41"/>
  <c r="W111" i="41"/>
  <c r="X111" i="41"/>
  <c r="R112" i="41"/>
  <c r="S112" i="41"/>
  <c r="U112" i="41"/>
  <c r="V112" i="41"/>
  <c r="AD112" i="41"/>
  <c r="AE112" i="41"/>
  <c r="R113" i="41"/>
  <c r="W112" i="41" s="1"/>
  <c r="S113" i="41"/>
  <c r="X112" i="41" s="1"/>
  <c r="X113" i="41"/>
  <c r="R114" i="41"/>
  <c r="S114" i="41"/>
  <c r="V113" i="41" s="1"/>
  <c r="V114" i="41"/>
  <c r="AD114" i="41"/>
  <c r="R115" i="41"/>
  <c r="S115" i="41"/>
  <c r="X114" i="41" s="1"/>
  <c r="T115" i="41"/>
  <c r="U115" i="41"/>
  <c r="W115" i="41"/>
  <c r="X115" i="41"/>
  <c r="AE115" i="41"/>
  <c r="R128" i="41"/>
  <c r="S128" i="41"/>
  <c r="X128" i="41" s="1"/>
  <c r="V128" i="41"/>
  <c r="R129" i="41"/>
  <c r="U128" i="41" s="1"/>
  <c r="AE128" i="41" s="1"/>
  <c r="S129" i="41"/>
  <c r="T129" i="41"/>
  <c r="R130" i="41"/>
  <c r="S130" i="41"/>
  <c r="V129" i="41" s="1"/>
  <c r="E131" i="41"/>
  <c r="I131" i="41"/>
  <c r="R131" i="41"/>
  <c r="S131" i="41"/>
  <c r="V131" i="41" s="1"/>
  <c r="T131" i="41"/>
  <c r="R132" i="41"/>
  <c r="S132" i="41"/>
  <c r="T132" i="41"/>
  <c r="U132" i="41"/>
  <c r="AE132" i="41" s="1"/>
  <c r="X132" i="41"/>
  <c r="AD132" i="41"/>
  <c r="R133" i="41"/>
  <c r="S133" i="41"/>
  <c r="V132" i="41" s="1"/>
  <c r="U133" i="41"/>
  <c r="AE133" i="41" s="1"/>
  <c r="V133" i="41"/>
  <c r="W133" i="41"/>
  <c r="R134" i="41"/>
  <c r="S134" i="41"/>
  <c r="R135" i="41"/>
  <c r="S135" i="41"/>
  <c r="V135" i="41"/>
  <c r="R136" i="41"/>
  <c r="U135" i="41" s="1"/>
  <c r="AE135" i="41" s="1"/>
  <c r="S136" i="41"/>
  <c r="X136" i="41"/>
  <c r="R137" i="41"/>
  <c r="S137" i="41"/>
  <c r="T137" i="41"/>
  <c r="U137" i="41"/>
  <c r="AE137" i="41" s="1"/>
  <c r="X137" i="41"/>
  <c r="AC137" i="41"/>
  <c r="R138" i="41"/>
  <c r="W137" i="41" s="1"/>
  <c r="S138" i="41"/>
  <c r="V137" i="41" s="1"/>
  <c r="Z137" i="41" s="1"/>
  <c r="V138" i="41"/>
  <c r="X138" i="41"/>
  <c r="R139" i="41"/>
  <c r="S139" i="41"/>
  <c r="V139" i="41"/>
  <c r="X139" i="41"/>
  <c r="R140" i="41"/>
  <c r="S140" i="41"/>
  <c r="V140" i="41" s="1"/>
  <c r="X140" i="41"/>
  <c r="R141" i="41"/>
  <c r="S141" i="41"/>
  <c r="T141" i="41"/>
  <c r="U141" i="41"/>
  <c r="AE141" i="41" s="1"/>
  <c r="X141" i="41"/>
  <c r="AC141" i="41"/>
  <c r="R142" i="41"/>
  <c r="W141" i="41" s="1"/>
  <c r="S142" i="41"/>
  <c r="V141" i="41" s="1"/>
  <c r="Z141" i="41" s="1"/>
  <c r="V142" i="41"/>
  <c r="X142" i="41"/>
  <c r="R143" i="41"/>
  <c r="S143" i="41"/>
  <c r="V143" i="41"/>
  <c r="X143" i="41"/>
  <c r="R144" i="41"/>
  <c r="S144" i="41"/>
  <c r="V144" i="41" s="1"/>
  <c r="X144" i="41"/>
  <c r="O145" i="41"/>
  <c r="P145" i="41"/>
  <c r="Q145" i="41"/>
  <c r="R145" i="41"/>
  <c r="AB145" i="41" s="1"/>
  <c r="O146" i="41"/>
  <c r="P146" i="41"/>
  <c r="S145" i="41" s="1"/>
  <c r="R146" i="41"/>
  <c r="T146" i="41"/>
  <c r="AB146" i="41"/>
  <c r="O147" i="41"/>
  <c r="P147" i="41"/>
  <c r="Q147" i="41"/>
  <c r="R147" i="41"/>
  <c r="AB147" i="41" s="1"/>
  <c r="O148" i="41"/>
  <c r="P148" i="41"/>
  <c r="S148" i="41"/>
  <c r="O149" i="41"/>
  <c r="P149" i="41"/>
  <c r="U148" i="41" s="1"/>
  <c r="Q149" i="41"/>
  <c r="O150" i="41"/>
  <c r="P150" i="41"/>
  <c r="S149" i="41" s="1"/>
  <c r="S150" i="41"/>
  <c r="U150" i="41"/>
  <c r="AA150" i="41"/>
  <c r="R151" i="41"/>
  <c r="S151" i="41"/>
  <c r="T151" i="41"/>
  <c r="V151" i="41"/>
  <c r="X151" i="41"/>
  <c r="AD151" i="41"/>
  <c r="R152" i="41"/>
  <c r="S152" i="41"/>
  <c r="T152" i="41"/>
  <c r="U152" i="41"/>
  <c r="AE152" i="41" s="1"/>
  <c r="R153" i="41"/>
  <c r="S153" i="41"/>
  <c r="X152" i="41" s="1"/>
  <c r="V153" i="41"/>
  <c r="R154" i="41"/>
  <c r="U153" i="41" s="1"/>
  <c r="AE153" i="41" s="1"/>
  <c r="S154" i="41"/>
  <c r="V154" i="41"/>
  <c r="R155" i="41"/>
  <c r="S155" i="41"/>
  <c r="X154" i="41" s="1"/>
  <c r="T155" i="41"/>
  <c r="W155" i="41"/>
  <c r="X155" i="41"/>
  <c r="R156" i="41"/>
  <c r="S156" i="41"/>
  <c r="U156" i="41"/>
  <c r="V156" i="41"/>
  <c r="AE156" i="41"/>
  <c r="R157" i="41"/>
  <c r="T157" i="41" s="1"/>
  <c r="S157" i="41"/>
  <c r="X156" i="41" s="1"/>
  <c r="U157" i="41"/>
  <c r="V157" i="41"/>
  <c r="W157" i="41"/>
  <c r="AD157" i="41"/>
  <c r="AE157" i="41"/>
  <c r="R158" i="41"/>
  <c r="S158" i="41"/>
  <c r="W158" i="41"/>
  <c r="R159" i="41"/>
  <c r="S159" i="41"/>
  <c r="W159" i="41"/>
  <c r="AD159" i="41"/>
  <c r="I162" i="41"/>
  <c r="G176" i="41"/>
  <c r="H176" i="41"/>
  <c r="F194" i="41" s="1"/>
  <c r="F195" i="41" s="1"/>
  <c r="F187" i="41"/>
  <c r="C188" i="41"/>
  <c r="F188" i="41"/>
  <c r="C189" i="41"/>
  <c r="F189" i="41"/>
  <c r="C195" i="41"/>
  <c r="C196" i="41"/>
  <c r="F196" i="41"/>
  <c r="E202" i="41"/>
  <c r="C203" i="41"/>
  <c r="E203" i="41"/>
  <c r="C204" i="41"/>
  <c r="E204" i="41"/>
  <c r="C210" i="41"/>
  <c r="C211" i="41"/>
  <c r="E237" i="41"/>
  <c r="E240" i="41"/>
  <c r="H246" i="41"/>
  <c r="E307" i="41"/>
  <c r="B308" i="41"/>
  <c r="E308" i="41"/>
  <c r="B318" i="41"/>
  <c r="E327" i="41"/>
  <c r="E328" i="41"/>
  <c r="E333" i="41"/>
  <c r="E334" i="41"/>
  <c r="E336" i="41" s="1"/>
  <c r="AA16" i="39"/>
  <c r="D386" i="41" s="1"/>
  <c r="U112" i="39"/>
  <c r="D383" i="41" l="1"/>
  <c r="F76" i="41"/>
  <c r="E330" i="41"/>
  <c r="E329" i="41"/>
  <c r="Z155" i="41"/>
  <c r="AC157" i="41"/>
  <c r="Y157" i="41"/>
  <c r="Z157" i="41"/>
  <c r="H248" i="41"/>
  <c r="H251" i="41"/>
  <c r="H255" i="41" s="1"/>
  <c r="V158" i="41"/>
  <c r="X159" i="41"/>
  <c r="X158" i="41"/>
  <c r="V159" i="41"/>
  <c r="Z145" i="41"/>
  <c r="W143" i="41"/>
  <c r="AD143" i="41"/>
  <c r="U142" i="41"/>
  <c r="AE142" i="41" s="1"/>
  <c r="AD142" i="41"/>
  <c r="T143" i="41"/>
  <c r="T142" i="41"/>
  <c r="W139" i="41"/>
  <c r="AD139" i="41"/>
  <c r="U138" i="41"/>
  <c r="AE138" i="41" s="1"/>
  <c r="AD138" i="41"/>
  <c r="T139" i="41"/>
  <c r="T138" i="41"/>
  <c r="AD134" i="41"/>
  <c r="T135" i="41"/>
  <c r="AC131" i="41"/>
  <c r="AA131" i="41"/>
  <c r="AC115" i="41"/>
  <c r="Y111" i="41"/>
  <c r="Y105" i="41"/>
  <c r="AC105" i="41"/>
  <c r="Y97" i="41"/>
  <c r="AC97" i="41"/>
  <c r="AB96" i="41"/>
  <c r="Z88" i="41"/>
  <c r="AA88" i="41"/>
  <c r="AB88" i="41"/>
  <c r="Y88" i="41"/>
  <c r="AC88" i="41"/>
  <c r="AD158" i="41"/>
  <c r="T159" i="41"/>
  <c r="U158" i="41"/>
  <c r="AE158" i="41" s="1"/>
  <c r="U154" i="41"/>
  <c r="AE154" i="41" s="1"/>
  <c r="AA149" i="41"/>
  <c r="R149" i="41"/>
  <c r="S147" i="41"/>
  <c r="W147" i="41" s="1"/>
  <c r="U147" i="41"/>
  <c r="Y147" i="41" s="1"/>
  <c r="AA146" i="41"/>
  <c r="AD144" i="41"/>
  <c r="W144" i="41"/>
  <c r="AA141" i="41"/>
  <c r="AB141" i="41"/>
  <c r="AD140" i="41"/>
  <c r="W140" i="41"/>
  <c r="AA137" i="41"/>
  <c r="AB137" i="41"/>
  <c r="AD136" i="41"/>
  <c r="W136" i="41"/>
  <c r="AD135" i="41"/>
  <c r="W135" i="41"/>
  <c r="W134" i="41"/>
  <c r="Z131" i="41"/>
  <c r="X130" i="41"/>
  <c r="AD113" i="41"/>
  <c r="T114" i="41"/>
  <c r="W113" i="41"/>
  <c r="U114" i="41"/>
  <c r="AE114" i="41" s="1"/>
  <c r="U113" i="41"/>
  <c r="AE113" i="41" s="1"/>
  <c r="AC111" i="41"/>
  <c r="Y103" i="41"/>
  <c r="Z96" i="41"/>
  <c r="X95" i="41"/>
  <c r="V96" i="41"/>
  <c r="AC96" i="41" s="1"/>
  <c r="V95" i="41"/>
  <c r="V81" i="41"/>
  <c r="Y81" i="41" s="1"/>
  <c r="AD81" i="41"/>
  <c r="X81" i="41"/>
  <c r="V82" i="41"/>
  <c r="AA82" i="41" s="1"/>
  <c r="AD82" i="41"/>
  <c r="E335" i="41"/>
  <c r="T158" i="41"/>
  <c r="AD156" i="41"/>
  <c r="V155" i="41"/>
  <c r="Y155" i="41" s="1"/>
  <c r="W154" i="41"/>
  <c r="AD154" i="41"/>
  <c r="T154" i="41"/>
  <c r="X153" i="41"/>
  <c r="W152" i="41"/>
  <c r="T153" i="41"/>
  <c r="U149" i="41"/>
  <c r="AA147" i="41"/>
  <c r="Q148" i="41"/>
  <c r="R148" i="41"/>
  <c r="AB148" i="41" s="1"/>
  <c r="S146" i="41"/>
  <c r="V145" i="41"/>
  <c r="T144" i="41"/>
  <c r="U143" i="41"/>
  <c r="AE143" i="41" s="1"/>
  <c r="W142" i="41"/>
  <c r="Y141" i="41"/>
  <c r="T140" i="41"/>
  <c r="U139" i="41"/>
  <c r="AE139" i="41" s="1"/>
  <c r="W138" i="41"/>
  <c r="Y137" i="41"/>
  <c r="T136" i="41"/>
  <c r="U134" i="41"/>
  <c r="AE134" i="41" s="1"/>
  <c r="X131" i="41"/>
  <c r="U130" i="41"/>
  <c r="AE130" i="41" s="1"/>
  <c r="W130" i="41"/>
  <c r="AD130" i="41"/>
  <c r="V130" i="41"/>
  <c r="AD129" i="41"/>
  <c r="X129" i="41"/>
  <c r="T128" i="41"/>
  <c r="W114" i="41"/>
  <c r="T113" i="41"/>
  <c r="V109" i="41"/>
  <c r="X109" i="41"/>
  <c r="Z101" i="41"/>
  <c r="Y101" i="41"/>
  <c r="X96" i="41"/>
  <c r="AA96" i="41" s="1"/>
  <c r="U159" i="41"/>
  <c r="AE159" i="41" s="1"/>
  <c r="X157" i="41"/>
  <c r="AA157" i="41" s="1"/>
  <c r="AB157" i="41"/>
  <c r="W156" i="41"/>
  <c r="AD155" i="41"/>
  <c r="T156" i="41"/>
  <c r="U155" i="41"/>
  <c r="AE155" i="41" s="1"/>
  <c r="AD153" i="41"/>
  <c r="W153" i="41"/>
  <c r="AD152" i="41"/>
  <c r="V152" i="41"/>
  <c r="U151" i="41"/>
  <c r="W151" i="41"/>
  <c r="Y151" i="41" s="1"/>
  <c r="Q150" i="41"/>
  <c r="Z149" i="41"/>
  <c r="T149" i="41"/>
  <c r="V149" i="41" s="1"/>
  <c r="AA148" i="41"/>
  <c r="T148" i="41"/>
  <c r="T147" i="41"/>
  <c r="Z147" i="41" s="1"/>
  <c r="AA145" i="41"/>
  <c r="U145" i="41"/>
  <c r="Y145" i="41" s="1"/>
  <c r="AD141" i="41"/>
  <c r="AD137" i="41"/>
  <c r="X135" i="41"/>
  <c r="V136" i="41"/>
  <c r="V134" i="41"/>
  <c r="X134" i="41"/>
  <c r="T134" i="41"/>
  <c r="AD133" i="41"/>
  <c r="AA132" i="41"/>
  <c r="AB132" i="41"/>
  <c r="AD131" i="41"/>
  <c r="W131" i="41"/>
  <c r="Y131" i="41" s="1"/>
  <c r="T130" i="41"/>
  <c r="AD128" i="41"/>
  <c r="W128" i="41"/>
  <c r="AD110" i="41"/>
  <c r="AD109" i="41"/>
  <c r="T110" i="41"/>
  <c r="U110" i="41"/>
  <c r="AE110" i="41" s="1"/>
  <c r="T109" i="41"/>
  <c r="W94" i="41"/>
  <c r="T95" i="41"/>
  <c r="T94" i="41"/>
  <c r="AD94" i="41"/>
  <c r="U95" i="41"/>
  <c r="AE95" i="41" s="1"/>
  <c r="U94" i="41"/>
  <c r="AE94" i="41" s="1"/>
  <c r="AD95" i="41"/>
  <c r="Y93" i="41"/>
  <c r="AC93" i="41"/>
  <c r="AE81" i="41"/>
  <c r="AA81" i="41"/>
  <c r="AB81" i="41"/>
  <c r="Z90" i="41"/>
  <c r="AA90" i="41"/>
  <c r="AB90" i="41"/>
  <c r="T150" i="41"/>
  <c r="R150" i="41"/>
  <c r="AB150" i="41" s="1"/>
  <c r="U146" i="41"/>
  <c r="T145" i="41"/>
  <c r="W145" i="41" s="1"/>
  <c r="Q146" i="41"/>
  <c r="U144" i="41"/>
  <c r="AE144" i="41" s="1"/>
  <c r="U140" i="41"/>
  <c r="AE140" i="41" s="1"/>
  <c r="U136" i="41"/>
  <c r="AE136" i="41" s="1"/>
  <c r="X133" i="41"/>
  <c r="W132" i="41"/>
  <c r="Y132" i="41" s="1"/>
  <c r="T133" i="41"/>
  <c r="U131" i="41"/>
  <c r="W129" i="41"/>
  <c r="Z129" i="41" s="1"/>
  <c r="U129" i="41"/>
  <c r="X110" i="41"/>
  <c r="V110" i="41"/>
  <c r="Z107" i="41"/>
  <c r="AA107" i="41"/>
  <c r="Y99" i="41"/>
  <c r="AA99" i="41"/>
  <c r="Z92" i="41"/>
  <c r="AA92" i="41"/>
  <c r="AB92" i="41"/>
  <c r="AC89" i="41"/>
  <c r="Y89" i="41"/>
  <c r="AC91" i="41"/>
  <c r="Y91" i="41"/>
  <c r="AC90" i="41"/>
  <c r="R86" i="41"/>
  <c r="AC82" i="41"/>
  <c r="V111" i="41"/>
  <c r="Z111" i="41" s="1"/>
  <c r="AD105" i="41"/>
  <c r="T106" i="41"/>
  <c r="AD103" i="41"/>
  <c r="T104" i="41"/>
  <c r="AD101" i="41"/>
  <c r="T102" i="41"/>
  <c r="AD99" i="41"/>
  <c r="T100" i="41"/>
  <c r="AD97" i="41"/>
  <c r="T98" i="41"/>
  <c r="S84" i="41"/>
  <c r="C87" i="41"/>
  <c r="Z81" i="41"/>
  <c r="AD115" i="41"/>
  <c r="V115" i="41"/>
  <c r="Y115" i="41" s="1"/>
  <c r="AD111" i="41"/>
  <c r="T112" i="41"/>
  <c r="U111" i="41"/>
  <c r="AE111" i="41" s="1"/>
  <c r="X108" i="41"/>
  <c r="AD107" i="41"/>
  <c r="T108" i="41"/>
  <c r="U107" i="41"/>
  <c r="AB107" i="41" s="1"/>
  <c r="U105" i="41"/>
  <c r="Z105" i="41" s="1"/>
  <c r="U103" i="41"/>
  <c r="U101" i="41"/>
  <c r="U99" i="41"/>
  <c r="U97" i="41"/>
  <c r="Z97" i="41" s="1"/>
  <c r="Z93" i="41"/>
  <c r="Z91" i="41"/>
  <c r="Z89" i="41"/>
  <c r="AC81" i="41"/>
  <c r="AD93" i="41"/>
  <c r="D384" i="41"/>
  <c r="D381" i="41"/>
  <c r="D385" i="41"/>
  <c r="D382" i="41"/>
  <c r="F162" i="39"/>
  <c r="I160" i="39"/>
  <c r="L174" i="39"/>
  <c r="R20" i="39"/>
  <c r="R19" i="39"/>
  <c r="R18" i="39"/>
  <c r="O21" i="39"/>
  <c r="Q42" i="39"/>
  <c r="U41" i="39"/>
  <c r="R8" i="39"/>
  <c r="Y51" i="39"/>
  <c r="D399" i="41" s="1"/>
  <c r="E399" i="41" s="1"/>
  <c r="G385" i="41"/>
  <c r="G384" i="41"/>
  <c r="F174" i="39" l="1"/>
  <c r="AE103" i="41"/>
  <c r="AB103" i="41"/>
  <c r="AC103" i="41"/>
  <c r="AE129" i="41"/>
  <c r="AB129" i="41"/>
  <c r="Z109" i="41"/>
  <c r="AC109" i="41"/>
  <c r="Y109" i="41"/>
  <c r="AB109" i="41"/>
  <c r="AA109" i="41"/>
  <c r="AA151" i="41"/>
  <c r="AE151" i="41"/>
  <c r="Y140" i="41"/>
  <c r="AC140" i="41"/>
  <c r="AA140" i="41"/>
  <c r="Z140" i="41"/>
  <c r="AB140" i="41"/>
  <c r="AB151" i="41"/>
  <c r="Z158" i="41"/>
  <c r="AC158" i="41"/>
  <c r="Y158" i="41"/>
  <c r="AA158" i="41"/>
  <c r="AB158" i="41"/>
  <c r="AB82" i="41"/>
  <c r="AA143" i="41"/>
  <c r="Y143" i="41"/>
  <c r="Z143" i="41"/>
  <c r="AB143" i="41"/>
  <c r="AC143" i="41"/>
  <c r="AB100" i="41"/>
  <c r="Z100" i="41"/>
  <c r="AA100" i="41"/>
  <c r="Y100" i="41"/>
  <c r="AC100" i="41"/>
  <c r="AD85" i="41"/>
  <c r="T86" i="41"/>
  <c r="W85" i="41"/>
  <c r="U86" i="41"/>
  <c r="AE86" i="41" s="1"/>
  <c r="T85" i="41"/>
  <c r="U85" i="41"/>
  <c r="AE85" i="41" s="1"/>
  <c r="W86" i="41"/>
  <c r="Y146" i="41"/>
  <c r="Z146" i="41"/>
  <c r="W146" i="41"/>
  <c r="X146" i="41"/>
  <c r="V146" i="41"/>
  <c r="AA94" i="41"/>
  <c r="Y94" i="41"/>
  <c r="Z94" i="41"/>
  <c r="AB94" i="41"/>
  <c r="AC94" i="41"/>
  <c r="AA115" i="41"/>
  <c r="Z152" i="41"/>
  <c r="AB152" i="41"/>
  <c r="AC151" i="41"/>
  <c r="AA103" i="41"/>
  <c r="AC152" i="41"/>
  <c r="AA97" i="41"/>
  <c r="AB111" i="41"/>
  <c r="Z115" i="41"/>
  <c r="Y138" i="41"/>
  <c r="AC138" i="41"/>
  <c r="AA138" i="41"/>
  <c r="AB138" i="41"/>
  <c r="Z138" i="41"/>
  <c r="H263" i="41"/>
  <c r="AC155" i="41"/>
  <c r="AE101" i="41"/>
  <c r="AB101" i="41"/>
  <c r="AB108" i="41"/>
  <c r="AC108" i="41"/>
  <c r="Y108" i="41"/>
  <c r="AA108" i="41"/>
  <c r="Z108" i="41"/>
  <c r="AB112" i="41"/>
  <c r="Y112" i="41"/>
  <c r="AC112" i="41"/>
  <c r="AA112" i="41"/>
  <c r="Z112" i="41"/>
  <c r="AB98" i="41"/>
  <c r="Z98" i="41"/>
  <c r="AA98" i="41"/>
  <c r="AC98" i="41"/>
  <c r="Y98" i="41"/>
  <c r="AB102" i="41"/>
  <c r="Z102" i="41"/>
  <c r="AA102" i="41"/>
  <c r="Y102" i="41"/>
  <c r="AC102" i="41"/>
  <c r="AB106" i="41"/>
  <c r="Z106" i="41"/>
  <c r="AA106" i="41"/>
  <c r="AC106" i="41"/>
  <c r="Y106" i="41"/>
  <c r="Z82" i="41"/>
  <c r="AB133" i="41"/>
  <c r="AC133" i="41"/>
  <c r="Y133" i="41"/>
  <c r="Z133" i="41"/>
  <c r="AA133" i="41"/>
  <c r="AD162" i="41"/>
  <c r="Z134" i="41"/>
  <c r="AC134" i="41"/>
  <c r="AA134" i="41"/>
  <c r="AB134" i="41"/>
  <c r="Y134" i="41"/>
  <c r="Z113" i="41"/>
  <c r="AA113" i="41"/>
  <c r="Y113" i="41"/>
  <c r="AB113" i="41"/>
  <c r="AC113" i="41"/>
  <c r="V147" i="41"/>
  <c r="Y152" i="41"/>
  <c r="AA154" i="41"/>
  <c r="AC154" i="41"/>
  <c r="Y154" i="41"/>
  <c r="Z154" i="41"/>
  <c r="AB154" i="41"/>
  <c r="Z103" i="41"/>
  <c r="X145" i="41"/>
  <c r="X147" i="41"/>
  <c r="AB149" i="41"/>
  <c r="Y149" i="41"/>
  <c r="Y96" i="41"/>
  <c r="AA129" i="41"/>
  <c r="AB135" i="41"/>
  <c r="Z135" i="41"/>
  <c r="AA135" i="41"/>
  <c r="AC135" i="41"/>
  <c r="Y135" i="41"/>
  <c r="Y142" i="41"/>
  <c r="AC142" i="41"/>
  <c r="AA142" i="41"/>
  <c r="AB142" i="41"/>
  <c r="Z142" i="41"/>
  <c r="W149" i="41"/>
  <c r="AC101" i="41"/>
  <c r="AA155" i="41"/>
  <c r="S87" i="41"/>
  <c r="F54" i="41"/>
  <c r="AC129" i="41"/>
  <c r="Y136" i="41"/>
  <c r="AC136" i="41"/>
  <c r="AA136" i="41"/>
  <c r="Z136" i="41"/>
  <c r="AB136" i="41"/>
  <c r="Y144" i="41"/>
  <c r="AC144" i="41"/>
  <c r="AA144" i="41"/>
  <c r="Z144" i="41"/>
  <c r="AB144" i="41"/>
  <c r="Y153" i="41"/>
  <c r="AC153" i="41"/>
  <c r="Z153" i="41"/>
  <c r="AA153" i="41"/>
  <c r="AB153" i="41"/>
  <c r="AB114" i="41"/>
  <c r="Y114" i="41"/>
  <c r="AC114" i="41"/>
  <c r="AA114" i="41"/>
  <c r="Z114" i="41"/>
  <c r="H259" i="41"/>
  <c r="Z132" i="41"/>
  <c r="AE97" i="41"/>
  <c r="AB97" i="41"/>
  <c r="AE105" i="41"/>
  <c r="AB105" i="41"/>
  <c r="V83" i="41"/>
  <c r="V84" i="41"/>
  <c r="X84" i="41"/>
  <c r="AD83" i="41"/>
  <c r="X83" i="41"/>
  <c r="AD84" i="41"/>
  <c r="AB104" i="41"/>
  <c r="Z104" i="41"/>
  <c r="AA104" i="41"/>
  <c r="Y104" i="41"/>
  <c r="AC104" i="41"/>
  <c r="Y82" i="41"/>
  <c r="Y130" i="41"/>
  <c r="AC130" i="41"/>
  <c r="AB130" i="41"/>
  <c r="AA130" i="41"/>
  <c r="Z130" i="41"/>
  <c r="X150" i="41"/>
  <c r="W150" i="41"/>
  <c r="Y150" i="41"/>
  <c r="Z150" i="41"/>
  <c r="V150" i="41"/>
  <c r="AB115" i="41"/>
  <c r="Y148" i="41"/>
  <c r="W148" i="41"/>
  <c r="V148" i="41"/>
  <c r="X148" i="41"/>
  <c r="Z148" i="41"/>
  <c r="AB159" i="41"/>
  <c r="Z159" i="41"/>
  <c r="AA159" i="41"/>
  <c r="AC159" i="41"/>
  <c r="Y159" i="41"/>
  <c r="AA105" i="41"/>
  <c r="AE99" i="41"/>
  <c r="AB99" i="41"/>
  <c r="AC99" i="41"/>
  <c r="AC107" i="41"/>
  <c r="AE107" i="41"/>
  <c r="Z99" i="41"/>
  <c r="AE131" i="41"/>
  <c r="AB131" i="41"/>
  <c r="AB95" i="41"/>
  <c r="Z95" i="41"/>
  <c r="AA95" i="41"/>
  <c r="AC95" i="41"/>
  <c r="Y95" i="41"/>
  <c r="AB110" i="41"/>
  <c r="Z110" i="41"/>
  <c r="AA110" i="41"/>
  <c r="Y110" i="41"/>
  <c r="AC110" i="41"/>
  <c r="Z151" i="41"/>
  <c r="AB156" i="41"/>
  <c r="AC156" i="41"/>
  <c r="Y156" i="41"/>
  <c r="Z156" i="41"/>
  <c r="AA156" i="41"/>
  <c r="AA101" i="41"/>
  <c r="Y128" i="41"/>
  <c r="AC128" i="41"/>
  <c r="Z128" i="41"/>
  <c r="AA128" i="41"/>
  <c r="AB128" i="41"/>
  <c r="AC132" i="41"/>
  <c r="Y129" i="41"/>
  <c r="AA152" i="41"/>
  <c r="AA111" i="41"/>
  <c r="AA139" i="41"/>
  <c r="Y139" i="41"/>
  <c r="Z139" i="41"/>
  <c r="AB139" i="41"/>
  <c r="AC139" i="41"/>
  <c r="X149" i="41"/>
  <c r="AB155" i="41"/>
  <c r="D396" i="41"/>
  <c r="E396" i="41" s="1"/>
  <c r="D397" i="41"/>
  <c r="E397" i="41" s="1"/>
  <c r="D400" i="41"/>
  <c r="E400" i="41" s="1"/>
  <c r="D398" i="41"/>
  <c r="E398" i="41" s="1"/>
  <c r="D395" i="41"/>
  <c r="AC162" i="41" l="1"/>
  <c r="AC84" i="41"/>
  <c r="Y84" i="41"/>
  <c r="Z84" i="41"/>
  <c r="AE84" i="41"/>
  <c r="AA86" i="41"/>
  <c r="AB162" i="41"/>
  <c r="Y162" i="41"/>
  <c r="E87" i="41" s="1"/>
  <c r="E90" i="41" s="1"/>
  <c r="AB83" i="41"/>
  <c r="AA83" i="41"/>
  <c r="Y83" i="41"/>
  <c r="AC83" i="41"/>
  <c r="Z83" i="41"/>
  <c r="AE83" i="41"/>
  <c r="F56" i="41"/>
  <c r="F55" i="41"/>
  <c r="G166" i="41"/>
  <c r="H166" i="41" s="1"/>
  <c r="E209" i="41" s="1"/>
  <c r="G283" i="41"/>
  <c r="D133" i="41"/>
  <c r="G165" i="41"/>
  <c r="G284" i="41"/>
  <c r="Z85" i="41"/>
  <c r="AB85" i="41"/>
  <c r="AC85" i="41"/>
  <c r="AA85" i="41"/>
  <c r="Y85" i="41"/>
  <c r="AE162" i="41"/>
  <c r="AA162" i="41"/>
  <c r="AA163" i="41" s="1"/>
  <c r="E89" i="41" s="1"/>
  <c r="X86" i="41"/>
  <c r="AD87" i="41"/>
  <c r="V86" i="41"/>
  <c r="AC86" i="41" s="1"/>
  <c r="V87" i="41"/>
  <c r="X87" i="41"/>
  <c r="I262" i="41"/>
  <c r="Z162" i="41"/>
  <c r="AB84" i="41"/>
  <c r="AA84" i="41"/>
  <c r="AD86" i="41"/>
  <c r="AD121" i="41" s="1"/>
  <c r="G381" i="41"/>
  <c r="Y87" i="41" l="1"/>
  <c r="Y121" i="41" s="1"/>
  <c r="E81" i="41" s="1"/>
  <c r="E84" i="41" s="1"/>
  <c r="Z87" i="41"/>
  <c r="Z121" i="41" s="1"/>
  <c r="AC87" i="41"/>
  <c r="AE87" i="41"/>
  <c r="AC121" i="41"/>
  <c r="E91" i="41"/>
  <c r="E92" i="41"/>
  <c r="F292" i="41"/>
  <c r="F155" i="41"/>
  <c r="F174" i="41"/>
  <c r="F286" i="41"/>
  <c r="AC163" i="41"/>
  <c r="Z163" i="41"/>
  <c r="E88" i="41" s="1"/>
  <c r="D136" i="41"/>
  <c r="E276" i="41" s="1"/>
  <c r="F165" i="41"/>
  <c r="F283" i="41"/>
  <c r="E146" i="41"/>
  <c r="E150" i="41" s="1"/>
  <c r="H262" i="41"/>
  <c r="AB163" i="41"/>
  <c r="Z86" i="41"/>
  <c r="AE121" i="41"/>
  <c r="Y86" i="41"/>
  <c r="AB86" i="41"/>
  <c r="AB87" i="41"/>
  <c r="AB121" i="41" s="1"/>
  <c r="AA87" i="41"/>
  <c r="AA121" i="41" s="1"/>
  <c r="AA122" i="41" s="1"/>
  <c r="E83" i="41" s="1"/>
  <c r="E210" i="41"/>
  <c r="E211" i="41"/>
  <c r="H268" i="41"/>
  <c r="F284" i="41" s="1"/>
  <c r="AA406" i="41"/>
  <c r="Z406" i="41"/>
  <c r="Y406" i="41"/>
  <c r="X406" i="41"/>
  <c r="N405" i="41"/>
  <c r="AA403" i="41"/>
  <c r="Z403" i="41"/>
  <c r="Y403" i="41"/>
  <c r="X403" i="41"/>
  <c r="AA402" i="41"/>
  <c r="Z402" i="41"/>
  <c r="Y402" i="41"/>
  <c r="X402" i="41"/>
  <c r="N402" i="41"/>
  <c r="Y401" i="41"/>
  <c r="X401" i="41"/>
  <c r="W401" i="41"/>
  <c r="V401" i="41"/>
  <c r="X405" i="41"/>
  <c r="E395" i="41"/>
  <c r="W400" i="41" s="1"/>
  <c r="G383" i="41"/>
  <c r="G382" i="41"/>
  <c r="B395" i="41"/>
  <c r="B371" i="41"/>
  <c r="B368" i="41"/>
  <c r="B366" i="41"/>
  <c r="J150" i="39"/>
  <c r="M124" i="39"/>
  <c r="M123" i="39"/>
  <c r="U111" i="39"/>
  <c r="R14" i="39"/>
  <c r="E86" i="41" l="1"/>
  <c r="E95" i="41" s="1"/>
  <c r="E97" i="41" s="1"/>
  <c r="E94" i="41"/>
  <c r="F173" i="41"/>
  <c r="F154" i="41"/>
  <c r="F285" i="41"/>
  <c r="F291" i="41"/>
  <c r="AB122" i="41"/>
  <c r="Z122" i="41"/>
  <c r="E82" i="41" s="1"/>
  <c r="H284" i="41"/>
  <c r="D345" i="41"/>
  <c r="D348" i="41" s="1"/>
  <c r="H273" i="41"/>
  <c r="E275" i="41" s="1"/>
  <c r="H174" i="41"/>
  <c r="E194" i="41" s="1"/>
  <c r="E187" i="41"/>
  <c r="G292" i="41"/>
  <c r="G295" i="41"/>
  <c r="G155" i="41"/>
  <c r="H155" i="41" s="1"/>
  <c r="G174" i="41"/>
  <c r="AC122" i="41"/>
  <c r="F287" i="41"/>
  <c r="H283" i="41"/>
  <c r="C345" i="41"/>
  <c r="C346" i="41" s="1"/>
  <c r="H292" i="41"/>
  <c r="D327" i="41"/>
  <c r="D328" i="41" s="1"/>
  <c r="D329" i="41" s="1"/>
  <c r="D330" i="41" s="1"/>
  <c r="F295" i="41"/>
  <c r="H165" i="41"/>
  <c r="D202" i="41"/>
  <c r="F169" i="41"/>
  <c r="F345" i="41"/>
  <c r="F348" i="41" s="1"/>
  <c r="V400" i="41"/>
  <c r="X404" i="41"/>
  <c r="Y404" i="41"/>
  <c r="Y405" i="41"/>
  <c r="R7" i="39"/>
  <c r="R6" i="39"/>
  <c r="E196" i="41" l="1"/>
  <c r="E195" i="41"/>
  <c r="G154" i="41"/>
  <c r="H154" i="41" s="1"/>
  <c r="H157" i="41" s="1"/>
  <c r="G173" i="41"/>
  <c r="G291" i="41"/>
  <c r="G294" i="41"/>
  <c r="F157" i="41"/>
  <c r="G285" i="41"/>
  <c r="H285" i="41" s="1"/>
  <c r="G286" i="41"/>
  <c r="H286" i="41" s="1"/>
  <c r="D203" i="41"/>
  <c r="F203" i="41" s="1"/>
  <c r="D204" i="41"/>
  <c r="F204" i="41" s="1"/>
  <c r="D333" i="41"/>
  <c r="D334" i="41" s="1"/>
  <c r="D335" i="41" s="1"/>
  <c r="D336" i="41" s="1"/>
  <c r="D307" i="41"/>
  <c r="D308" i="41" s="1"/>
  <c r="H173" i="41"/>
  <c r="F177" i="41"/>
  <c r="D187" i="41"/>
  <c r="D209" i="41"/>
  <c r="H169" i="41"/>
  <c r="C347" i="41"/>
  <c r="G346" i="41"/>
  <c r="H291" i="41"/>
  <c r="F296" i="41"/>
  <c r="C327" i="41"/>
  <c r="C328" i="41" s="1"/>
  <c r="F294" i="41"/>
  <c r="G327" i="41"/>
  <c r="G330" i="41" s="1"/>
  <c r="H295" i="41"/>
  <c r="C351" i="41"/>
  <c r="C352" i="41" s="1"/>
  <c r="C317" i="41"/>
  <c r="C318" i="41" s="1"/>
  <c r="E188" i="41"/>
  <c r="E189" i="41"/>
  <c r="D351" i="41"/>
  <c r="D354" i="41" s="1"/>
  <c r="D317" i="41"/>
  <c r="D318" i="41" s="1"/>
  <c r="E345" i="41"/>
  <c r="E348" i="41" s="1"/>
  <c r="E85" i="41"/>
  <c r="E93" i="41" s="1"/>
  <c r="E96" i="41" s="1"/>
  <c r="L160" i="39"/>
  <c r="L161" i="39" s="1"/>
  <c r="L162" i="39" s="1"/>
  <c r="L163" i="39" s="1"/>
  <c r="M150" i="39"/>
  <c r="O144" i="39"/>
  <c r="U137" i="39"/>
  <c r="E127" i="39"/>
  <c r="E128" i="39" s="1"/>
  <c r="W144" i="39" s="1"/>
  <c r="M119" i="39"/>
  <c r="E116" i="39"/>
  <c r="O119" i="39" s="1"/>
  <c r="U136" i="39"/>
  <c r="F66" i="41" s="1"/>
  <c r="D13" i="41" s="1"/>
  <c r="E99" i="39"/>
  <c r="F216" i="39" s="1"/>
  <c r="E93" i="39"/>
  <c r="E90" i="39"/>
  <c r="F213" i="39" s="1"/>
  <c r="E87" i="39"/>
  <c r="R57" i="39"/>
  <c r="O44" i="39"/>
  <c r="G42" i="39"/>
  <c r="P25" i="39"/>
  <c r="AH14" i="39"/>
  <c r="AE14" i="39"/>
  <c r="U13" i="39"/>
  <c r="R25" i="39" s="1"/>
  <c r="U11" i="39"/>
  <c r="U10" i="39"/>
  <c r="J29" i="39" s="1"/>
  <c r="AH7" i="39"/>
  <c r="AE7" i="39"/>
  <c r="AH6" i="39"/>
  <c r="AE6" i="39"/>
  <c r="U5" i="39"/>
  <c r="C36" i="39" s="1"/>
  <c r="U135" i="39"/>
  <c r="J152" i="39" l="1"/>
  <c r="L154" i="39"/>
  <c r="I174" i="39"/>
  <c r="O174" i="39" s="1"/>
  <c r="I163" i="39"/>
  <c r="H370" i="41"/>
  <c r="H366" i="41"/>
  <c r="H369" i="41"/>
  <c r="H368" i="41"/>
  <c r="H371" i="41"/>
  <c r="H367" i="41"/>
  <c r="F163" i="39"/>
  <c r="R163" i="39" s="1"/>
  <c r="E351" i="41"/>
  <c r="E354" i="41" s="1"/>
  <c r="E317" i="41"/>
  <c r="E318" i="41" s="1"/>
  <c r="G318" i="41" s="1"/>
  <c r="H287" i="41"/>
  <c r="G307" i="41"/>
  <c r="G308" i="41" s="1"/>
  <c r="G333" i="41"/>
  <c r="G336" i="41" s="1"/>
  <c r="H177" i="41"/>
  <c r="D194" i="41"/>
  <c r="C333" i="41"/>
  <c r="C334" i="41" s="1"/>
  <c r="C307" i="41"/>
  <c r="C308" i="41" s="1"/>
  <c r="D210" i="41"/>
  <c r="F210" i="41" s="1"/>
  <c r="D211" i="41"/>
  <c r="F211" i="41" s="1"/>
  <c r="F327" i="41"/>
  <c r="F330" i="41" s="1"/>
  <c r="H294" i="41"/>
  <c r="C353" i="41"/>
  <c r="G352" i="41"/>
  <c r="C329" i="41"/>
  <c r="H328" i="41"/>
  <c r="G347" i="41"/>
  <c r="C348" i="41"/>
  <c r="F317" i="41"/>
  <c r="F318" i="41" s="1"/>
  <c r="F351" i="41"/>
  <c r="F354" i="41" s="1"/>
  <c r="G348" i="41"/>
  <c r="D189" i="41"/>
  <c r="G189" i="41" s="1"/>
  <c r="D188" i="41"/>
  <c r="G188" i="41" s="1"/>
  <c r="S147" i="39"/>
  <c r="W214" i="39" s="1"/>
  <c r="AA36" i="39"/>
  <c r="N42" i="39" s="1"/>
  <c r="J42" i="39" s="1"/>
  <c r="N232" i="39"/>
  <c r="N236" i="39"/>
  <c r="N230" i="39"/>
  <c r="N233" i="39"/>
  <c r="N231" i="39"/>
  <c r="N234" i="39"/>
  <c r="N235" i="39"/>
  <c r="J230" i="39"/>
  <c r="J232" i="39"/>
  <c r="J236" i="39"/>
  <c r="J233" i="39"/>
  <c r="J234" i="39"/>
  <c r="J231" i="39"/>
  <c r="J235" i="39"/>
  <c r="U138" i="39"/>
  <c r="E141" i="39" s="1"/>
  <c r="Q144" i="39" s="1"/>
  <c r="Q119" i="39"/>
  <c r="T119" i="39" s="1"/>
  <c r="E120" i="39" s="1"/>
  <c r="T213" i="39" s="1"/>
  <c r="X152" i="39"/>
  <c r="W212" i="39" s="1"/>
  <c r="S120" i="39"/>
  <c r="W213" i="39" s="1"/>
  <c r="S144" i="39"/>
  <c r="L96" i="39"/>
  <c r="W210" i="39" s="1"/>
  <c r="AI37" i="39"/>
  <c r="L152" i="39"/>
  <c r="F160" i="39"/>
  <c r="U30" i="39"/>
  <c r="R12" i="39"/>
  <c r="U12" i="39" s="1"/>
  <c r="F29" i="39" s="1"/>
  <c r="AJ35" i="39"/>
  <c r="H152" i="39"/>
  <c r="E102" i="39"/>
  <c r="T211" i="39" s="1"/>
  <c r="F212" i="39"/>
  <c r="AG96" i="39"/>
  <c r="E96" i="39"/>
  <c r="T210" i="39" s="1"/>
  <c r="F214" i="39"/>
  <c r="R161" i="39" l="1"/>
  <c r="L87" i="39"/>
  <c r="R162" i="39"/>
  <c r="R160" i="39"/>
  <c r="R174" i="39"/>
  <c r="U174" i="39" s="1"/>
  <c r="X154" i="39"/>
  <c r="F307" i="41"/>
  <c r="F308" i="41" s="1"/>
  <c r="F333" i="41"/>
  <c r="F336" i="41" s="1"/>
  <c r="G353" i="41"/>
  <c r="C354" i="41"/>
  <c r="G354" i="41" s="1"/>
  <c r="H308" i="41"/>
  <c r="D195" i="41"/>
  <c r="G195" i="41" s="1"/>
  <c r="D196" i="41"/>
  <c r="G196" i="41" s="1"/>
  <c r="C330" i="41"/>
  <c r="H330" i="41" s="1"/>
  <c r="H329" i="41"/>
  <c r="C335" i="41"/>
  <c r="H334" i="41"/>
  <c r="H296" i="41"/>
  <c r="F161" i="39"/>
  <c r="L260" i="39"/>
  <c r="L255" i="39"/>
  <c r="L257" i="39"/>
  <c r="L261" i="39"/>
  <c r="L258" i="39"/>
  <c r="L256" i="39"/>
  <c r="L259" i="39"/>
  <c r="N258" i="39"/>
  <c r="N256" i="39"/>
  <c r="N259" i="39"/>
  <c r="N260" i="39"/>
  <c r="N257" i="39"/>
  <c r="N261" i="39"/>
  <c r="N255" i="39"/>
  <c r="J259" i="39"/>
  <c r="H257" i="39"/>
  <c r="H261" i="39"/>
  <c r="J260" i="39"/>
  <c r="H258" i="39"/>
  <c r="H256" i="39"/>
  <c r="J257" i="39"/>
  <c r="J261" i="39"/>
  <c r="H259" i="39"/>
  <c r="H255" i="39"/>
  <c r="J258" i="39"/>
  <c r="J256" i="39"/>
  <c r="H260" i="39"/>
  <c r="L236" i="39"/>
  <c r="L231" i="39"/>
  <c r="L233" i="39"/>
  <c r="L230" i="39"/>
  <c r="L234" i="39"/>
  <c r="L232" i="39"/>
  <c r="L235" i="39"/>
  <c r="BJ29" i="39"/>
  <c r="Z213" i="39"/>
  <c r="O160" i="39"/>
  <c r="I161" i="39"/>
  <c r="I162" i="39"/>
  <c r="O162" i="39" s="1"/>
  <c r="O163" i="39"/>
  <c r="E145" i="39"/>
  <c r="O152" i="39"/>
  <c r="T212" i="39" s="1"/>
  <c r="L102" i="39"/>
  <c r="W211" i="39" s="1"/>
  <c r="Z211" i="39" s="1"/>
  <c r="Z210" i="39"/>
  <c r="O161" i="39" l="1"/>
  <c r="L90" i="39"/>
  <c r="I213" i="39" s="1"/>
  <c r="L213" i="39" s="1"/>
  <c r="J247" i="39" s="1"/>
  <c r="L99" i="39"/>
  <c r="I216" i="39" s="1"/>
  <c r="L216" i="39" s="1"/>
  <c r="N243" i="39" s="1"/>
  <c r="L93" i="39"/>
  <c r="I214" i="39" s="1"/>
  <c r="L214" i="39" s="1"/>
  <c r="L248" i="39" s="1"/>
  <c r="I212" i="39"/>
  <c r="L212" i="39" s="1"/>
  <c r="H335" i="41"/>
  <c r="C336" i="41"/>
  <c r="H336" i="41" s="1"/>
  <c r="U162" i="39"/>
  <c r="N271" i="39"/>
  <c r="N268" i="39"/>
  <c r="N272" i="39"/>
  <c r="N266" i="39"/>
  <c r="N269" i="39"/>
  <c r="N267" i="39"/>
  <c r="N270" i="39"/>
  <c r="L269" i="39"/>
  <c r="L267" i="39"/>
  <c r="L270" i="39"/>
  <c r="L271" i="39"/>
  <c r="L266" i="39"/>
  <c r="L268" i="39"/>
  <c r="L272" i="39"/>
  <c r="R257" i="39"/>
  <c r="V257" i="39" s="1"/>
  <c r="I384" i="41" s="1"/>
  <c r="R261" i="39"/>
  <c r="V261" i="39" s="1"/>
  <c r="I386" i="41" s="1"/>
  <c r="R258" i="39"/>
  <c r="V258" i="39" s="1"/>
  <c r="I385" i="41" s="1"/>
  <c r="R256" i="39"/>
  <c r="V256" i="39" s="1"/>
  <c r="I383" i="41" s="1"/>
  <c r="R259" i="39"/>
  <c r="V259" i="39" s="1"/>
  <c r="I381" i="41" s="1"/>
  <c r="R255" i="39"/>
  <c r="R260" i="39"/>
  <c r="V260" i="39" s="1"/>
  <c r="I382" i="41" s="1"/>
  <c r="J270" i="39"/>
  <c r="H268" i="39"/>
  <c r="H272" i="39"/>
  <c r="J271" i="39"/>
  <c r="H269" i="39"/>
  <c r="H267" i="39"/>
  <c r="J268" i="39"/>
  <c r="J272" i="39"/>
  <c r="H270" i="39"/>
  <c r="H266" i="39"/>
  <c r="J269" i="39"/>
  <c r="J267" i="39"/>
  <c r="H271" i="39"/>
  <c r="L244" i="39"/>
  <c r="U163" i="39"/>
  <c r="U160" i="39"/>
  <c r="E146" i="39"/>
  <c r="E147" i="39" s="1"/>
  <c r="T214" i="39" s="1"/>
  <c r="J255" i="39" s="1"/>
  <c r="Z212" i="39"/>
  <c r="J242" i="39" l="1"/>
  <c r="J246" i="39"/>
  <c r="J243" i="39"/>
  <c r="L242" i="39"/>
  <c r="N247" i="39"/>
  <c r="J248" i="39"/>
  <c r="J245" i="39"/>
  <c r="N242" i="39"/>
  <c r="J244" i="39"/>
  <c r="N245" i="39"/>
  <c r="L243" i="39"/>
  <c r="L247" i="39"/>
  <c r="L245" i="39"/>
  <c r="N248" i="39"/>
  <c r="N246" i="39"/>
  <c r="L246" i="39"/>
  <c r="N244" i="39"/>
  <c r="U161" i="39"/>
  <c r="R268" i="39"/>
  <c r="V268" i="39" s="1"/>
  <c r="E369" i="41" s="1"/>
  <c r="R272" i="39"/>
  <c r="V272" i="39" s="1"/>
  <c r="R269" i="39"/>
  <c r="V269" i="39" s="1"/>
  <c r="E370" i="41" s="1"/>
  <c r="R267" i="39"/>
  <c r="R270" i="39"/>
  <c r="V270" i="39" s="1"/>
  <c r="E366" i="41" s="1"/>
  <c r="R266" i="39"/>
  <c r="R271" i="39"/>
  <c r="V271" i="39" s="1"/>
  <c r="E367" i="41" s="1"/>
  <c r="V267" i="39"/>
  <c r="E368" i="41" s="1"/>
  <c r="I215" i="39"/>
  <c r="Z214" i="39"/>
  <c r="J266" i="39" s="1"/>
  <c r="U167" i="39" l="1"/>
  <c r="L210" i="39" s="1"/>
  <c r="Q154" i="39"/>
  <c r="F215" i="39" s="1"/>
  <c r="O177" i="39"/>
  <c r="F211" i="39" s="1"/>
  <c r="O167" i="39"/>
  <c r="F210" i="39" s="1"/>
  <c r="H247" i="39" l="1"/>
  <c r="H242" i="39"/>
  <c r="H244" i="39"/>
  <c r="H248" i="39"/>
  <c r="H245" i="39"/>
  <c r="H243" i="39"/>
  <c r="H246" i="39"/>
  <c r="H231" i="39"/>
  <c r="H233" i="39"/>
  <c r="H235" i="39"/>
  <c r="H232" i="39"/>
  <c r="H234" i="39"/>
  <c r="H236" i="39"/>
  <c r="H230" i="39"/>
  <c r="P234" i="39"/>
  <c r="P235" i="39"/>
  <c r="P232" i="39"/>
  <c r="P236" i="39"/>
  <c r="P230" i="39"/>
  <c r="P233" i="39"/>
  <c r="P231" i="39"/>
  <c r="R232" i="39"/>
  <c r="R236" i="39"/>
  <c r="R233" i="39"/>
  <c r="R231" i="39"/>
  <c r="R230" i="39"/>
  <c r="R234" i="39"/>
  <c r="R235" i="39"/>
  <c r="L215" i="39"/>
  <c r="U177" i="39"/>
  <c r="L211" i="39" s="1"/>
  <c r="V236" i="39" l="1"/>
  <c r="C371" i="41" s="1"/>
  <c r="C386" i="41" s="1"/>
  <c r="V231" i="39"/>
  <c r="C368" i="41" s="1"/>
  <c r="C383" i="41" s="1"/>
  <c r="F383" i="41" s="1"/>
  <c r="H383" i="41" s="1"/>
  <c r="J383" i="41" s="1"/>
  <c r="R245" i="39"/>
  <c r="R243" i="39"/>
  <c r="R246" i="39"/>
  <c r="R247" i="39"/>
  <c r="R244" i="39"/>
  <c r="R248" i="39"/>
  <c r="R242" i="39"/>
  <c r="P247" i="39"/>
  <c r="P242" i="39"/>
  <c r="P244" i="39"/>
  <c r="P248" i="39"/>
  <c r="P245" i="39"/>
  <c r="P243" i="39"/>
  <c r="P246" i="39"/>
  <c r="V232" i="39"/>
  <c r="C369" i="41" s="1"/>
  <c r="C384" i="41" s="1"/>
  <c r="V233" i="39"/>
  <c r="C370" i="41" s="1"/>
  <c r="C385" i="41" s="1"/>
  <c r="V235" i="39"/>
  <c r="C367" i="41" s="1"/>
  <c r="C382" i="41" s="1"/>
  <c r="V234" i="39"/>
  <c r="C366" i="41" s="1"/>
  <c r="C381" i="41" s="1"/>
  <c r="E371" i="41"/>
  <c r="Y400" i="41"/>
  <c r="C397" i="41" l="1"/>
  <c r="C395" i="41"/>
  <c r="F381" i="41"/>
  <c r="H381" i="41" s="1"/>
  <c r="J381" i="41" s="1"/>
  <c r="C396" i="41"/>
  <c r="F382" i="41"/>
  <c r="H382" i="41" s="1"/>
  <c r="J382" i="41" s="1"/>
  <c r="C400" i="41"/>
  <c r="F386" i="41"/>
  <c r="C399" i="41"/>
  <c r="F385" i="41"/>
  <c r="H385" i="41" s="1"/>
  <c r="J385" i="41" s="1"/>
  <c r="C398" i="41"/>
  <c r="F384" i="41"/>
  <c r="H384" i="41" s="1"/>
  <c r="J384" i="41" s="1"/>
  <c r="V248" i="39"/>
  <c r="D371" i="41" s="1"/>
  <c r="F371" i="41" s="1"/>
  <c r="V245" i="39"/>
  <c r="D370" i="41" s="1"/>
  <c r="F370" i="41" s="1"/>
  <c r="V247" i="39"/>
  <c r="D367" i="41" s="1"/>
  <c r="F367" i="41" s="1"/>
  <c r="V243" i="39"/>
  <c r="D368" i="41" s="1"/>
  <c r="F368" i="41" s="1"/>
  <c r="V246" i="39"/>
  <c r="D366" i="41" s="1"/>
  <c r="F366" i="41" s="1"/>
  <c r="V244" i="39"/>
  <c r="D369" i="41" s="1"/>
  <c r="F369" i="41" s="1"/>
  <c r="AA404" i="41"/>
  <c r="H386" i="41" l="1"/>
  <c r="J386" i="41" s="1"/>
  <c r="G366" i="41"/>
  <c r="I366" i="41" s="1"/>
  <c r="G368" i="41"/>
  <c r="I368" i="41" s="1"/>
  <c r="G367" i="41"/>
  <c r="F396" i="41" s="1"/>
  <c r="H396" i="41" s="1"/>
  <c r="G371" i="41"/>
  <c r="F400" i="41" s="1"/>
  <c r="G369" i="41"/>
  <c r="I369" i="41" s="1"/>
  <c r="G370" i="41"/>
  <c r="F399" i="41" s="1"/>
  <c r="H399" i="41" s="1"/>
  <c r="N404" i="41"/>
  <c r="AA405" i="41"/>
  <c r="Z405" i="41"/>
  <c r="F395" i="41" l="1"/>
  <c r="H395" i="41" s="1"/>
  <c r="F398" i="41"/>
  <c r="H398" i="41" s="1"/>
  <c r="F397" i="41"/>
  <c r="H397" i="41" s="1"/>
  <c r="I370" i="41"/>
  <c r="I371" i="41"/>
  <c r="I367" i="41"/>
  <c r="H400" i="41"/>
  <c r="N403" i="41"/>
  <c r="Z404" i="41"/>
  <c r="X400" i="41" l="1"/>
</calcChain>
</file>

<file path=xl/sharedStrings.xml><?xml version="1.0" encoding="utf-8"?>
<sst xmlns="http://schemas.openxmlformats.org/spreadsheetml/2006/main" count="992" uniqueCount="537">
  <si>
    <t>B    =</t>
  </si>
  <si>
    <t>t</t>
  </si>
  <si>
    <t>t/m</t>
  </si>
  <si>
    <t>kg/cm2</t>
  </si>
  <si>
    <t>A    =</t>
  </si>
  <si>
    <t>DIMENSIONAMIENTO</t>
  </si>
  <si>
    <t>H    =</t>
  </si>
  <si>
    <t>Altura total del estribo</t>
  </si>
  <si>
    <t>Base del estribo</t>
  </si>
  <si>
    <t>Altura de zapata</t>
  </si>
  <si>
    <t>Altura total de viga</t>
  </si>
  <si>
    <t>e     =</t>
  </si>
  <si>
    <t>Espesor del alastómero</t>
  </si>
  <si>
    <t>Atura del parapeto</t>
  </si>
  <si>
    <t>Espesor del parapeto</t>
  </si>
  <si>
    <t>Longitud del tablero</t>
  </si>
  <si>
    <t>(puentes simplemente apoyados)</t>
  </si>
  <si>
    <t>Desviación del apoyo medido desde la línea normal al tramo (en grados)</t>
  </si>
  <si>
    <t>N    =</t>
  </si>
  <si>
    <t>DEFINICION DE CARGAS</t>
  </si>
  <si>
    <t>Peso especifico del relleno</t>
  </si>
  <si>
    <t>t/m3</t>
  </si>
  <si>
    <t>Peso especifico del concreto</t>
  </si>
  <si>
    <t>Concreto</t>
  </si>
  <si>
    <t>Acero</t>
  </si>
  <si>
    <t xml:space="preserve">Angulo de fricción interno        </t>
  </si>
  <si>
    <t>Reacción por carga permanente (subestructura)</t>
  </si>
  <si>
    <t>Reacción por carga viva vehicular</t>
  </si>
  <si>
    <t>LL</t>
  </si>
  <si>
    <t>Ancho del estribo</t>
  </si>
  <si>
    <t>BR</t>
  </si>
  <si>
    <t>t/m2</t>
  </si>
  <si>
    <t>σ min</t>
  </si>
  <si>
    <t>σ máx</t>
  </si>
  <si>
    <t>Consideraciones iniciales</t>
  </si>
  <si>
    <t>DC  =</t>
  </si>
  <si>
    <t>DW  =</t>
  </si>
  <si>
    <t>LL   =</t>
  </si>
  <si>
    <t>BR  =</t>
  </si>
  <si>
    <t>Reacción por carga muerta superficie de rodadura</t>
  </si>
  <si>
    <t>EV</t>
  </si>
  <si>
    <t>EH</t>
  </si>
  <si>
    <t>Bloque</t>
  </si>
  <si>
    <t>Ancho</t>
  </si>
  <si>
    <t>Alto</t>
  </si>
  <si>
    <t>pe</t>
  </si>
  <si>
    <t>(t/m3)</t>
  </si>
  <si>
    <t>Vn</t>
  </si>
  <si>
    <t>(t)</t>
  </si>
  <si>
    <t>Brazo</t>
  </si>
  <si>
    <t>Momento</t>
  </si>
  <si>
    <t>(t-m)</t>
  </si>
  <si>
    <t>Combinaciones de cargas</t>
  </si>
  <si>
    <t>Estado</t>
  </si>
  <si>
    <r>
      <t>LS</t>
    </r>
    <r>
      <rPr>
        <vertAlign val="subscript"/>
        <sz val="10"/>
        <rFont val="Arial"/>
        <family val="2"/>
      </rPr>
      <t>H</t>
    </r>
  </si>
  <si>
    <r>
      <t>LS</t>
    </r>
    <r>
      <rPr>
        <vertAlign val="subscript"/>
        <sz val="10"/>
        <rFont val="Arial"/>
        <family val="2"/>
      </rPr>
      <t>V</t>
    </r>
  </si>
  <si>
    <t>q</t>
  </si>
  <si>
    <t>ES</t>
  </si>
  <si>
    <t>φ</t>
  </si>
  <si>
    <t>RESISTENCIA 1</t>
  </si>
  <si>
    <t>Cargas Verticales</t>
  </si>
  <si>
    <t>Item</t>
  </si>
  <si>
    <t>RESISTENCIA 1a</t>
  </si>
  <si>
    <t>RESISTENCIA 1b</t>
  </si>
  <si>
    <t>RESISTENCIA 1c</t>
  </si>
  <si>
    <t>Cargas Horizontales</t>
  </si>
  <si>
    <t>Resumen de Cargas no factoradas</t>
  </si>
  <si>
    <t>Cargas de Diseño</t>
  </si>
  <si>
    <t>Hn</t>
  </si>
  <si>
    <t>Xo</t>
  </si>
  <si>
    <t>e</t>
  </si>
  <si>
    <t>Calculo del coeficiente para el empuje activo - Teoría de Coulomb</t>
  </si>
  <si>
    <t>Empuje activo - Teoría de Coulomb</t>
  </si>
  <si>
    <t>Calculo del coeficiente para la fuerza de diseño sismico</t>
  </si>
  <si>
    <t>Coeficiente de aceleración</t>
  </si>
  <si>
    <t>Coeficiente de sitio</t>
  </si>
  <si>
    <t>Calculo del coeficiente para el empuje de tierras con sismo - Mononobe Okabe</t>
  </si>
  <si>
    <t>Kh   =</t>
  </si>
  <si>
    <t>Coeficiente sismico horizontal (A/2)</t>
  </si>
  <si>
    <t>Kv   =</t>
  </si>
  <si>
    <t>arc tan Kh/(1-Kv)</t>
  </si>
  <si>
    <t xml:space="preserve">Angulo de fricción y adherencia para diferentes materiales </t>
  </si>
  <si>
    <t>Angulo de fricción interna del relleno</t>
  </si>
  <si>
    <t>Angulo del talud de tierra con la horizontal</t>
  </si>
  <si>
    <t>Angulo entre la pared interior del muro y la vertical</t>
  </si>
  <si>
    <t>º</t>
  </si>
  <si>
    <t>Empuje de tierras con sismo - Mononobe Okabe</t>
  </si>
  <si>
    <t>Carga viva superficial (LS)</t>
  </si>
  <si>
    <t>x     =</t>
  </si>
  <si>
    <t>y     =</t>
  </si>
  <si>
    <t xml:space="preserve">Peso propio del estribo (DC) </t>
  </si>
  <si>
    <t>Peso del suelo de relleno (EV)</t>
  </si>
  <si>
    <t>EQ  =</t>
  </si>
  <si>
    <t>EQ</t>
  </si>
  <si>
    <t>EV. EXTREMO 1</t>
  </si>
  <si>
    <t>EV. EXTREMO 1a</t>
  </si>
  <si>
    <t>EV. EXTREMO 1b</t>
  </si>
  <si>
    <t>EV. EXTREMO 1c</t>
  </si>
  <si>
    <t>LL, BR LS, PL</t>
  </si>
  <si>
    <t>E    =</t>
  </si>
  <si>
    <t>∑</t>
  </si>
  <si>
    <t>Peso propio proveniente de la superestructura (DC)</t>
  </si>
  <si>
    <t>Carga muerta proveniente de la superestructura (DW)</t>
  </si>
  <si>
    <t>Carga viva proveniente de la superestructura (LL)</t>
  </si>
  <si>
    <t>Fuerza sismica (EQ = 10%DC)</t>
  </si>
  <si>
    <t>Sobrecarga peatonal proveniente de la superestructura (PL)</t>
  </si>
  <si>
    <t>PL   =</t>
  </si>
  <si>
    <t>R(DC,DW,LL,PL)</t>
  </si>
  <si>
    <t>Reacción por sobrecarga peatonal</t>
  </si>
  <si>
    <t>PL</t>
  </si>
  <si>
    <t>Presión estatica del suelo</t>
  </si>
  <si>
    <t>EH   =</t>
  </si>
  <si>
    <t>EHe   =</t>
  </si>
  <si>
    <t>Cargas Verticales Fv (t)</t>
  </si>
  <si>
    <t>Momentos debidos a Cargas Verticales Mv (t.m)</t>
  </si>
  <si>
    <t>Cargas Horizontales Fh (t)</t>
  </si>
  <si>
    <t>Momentos debidos a Cargas Horizontales Mh (t.m)</t>
  </si>
  <si>
    <t>hz    =</t>
  </si>
  <si>
    <t>Calculado</t>
  </si>
  <si>
    <t>Redondeado</t>
  </si>
  <si>
    <t>Sen (φ + δ) Sen (φ - β)</t>
  </si>
  <si>
    <t>Sen (θ - δ) Sen (θ + β)</t>
  </si>
  <si>
    <t xml:space="preserve">Angulo de la cara superior de la pared con la vertical </t>
  </si>
  <si>
    <t>Long. de la cajuela a la linea central del apoyo</t>
  </si>
  <si>
    <t>Coeficiente sismico vertical (0.00 a 0.05)</t>
  </si>
  <si>
    <t>Fuerza de frenado y aceleración (5%LL)</t>
  </si>
  <si>
    <t>Reacción por fuerza de frenado y aceleración</t>
  </si>
  <si>
    <t>B/4</t>
  </si>
  <si>
    <t>f</t>
  </si>
  <si>
    <t>Øs</t>
  </si>
  <si>
    <t>max</t>
  </si>
  <si>
    <t>BL   =</t>
  </si>
  <si>
    <r>
      <t>h</t>
    </r>
    <r>
      <rPr>
        <vertAlign val="subscript"/>
        <sz val="8"/>
        <rFont val="Arial"/>
        <family val="2"/>
      </rPr>
      <t xml:space="preserve">viga </t>
    </r>
    <r>
      <rPr>
        <sz val="8"/>
        <rFont val="Arial"/>
        <family val="2"/>
      </rPr>
      <t>=</t>
    </r>
  </si>
  <si>
    <r>
      <t>h</t>
    </r>
    <r>
      <rPr>
        <vertAlign val="subscript"/>
        <sz val="8"/>
        <rFont val="Arial"/>
        <family val="2"/>
      </rPr>
      <t xml:space="preserve">parapeto </t>
    </r>
    <r>
      <rPr>
        <sz val="8"/>
        <rFont val="Arial"/>
        <family val="2"/>
      </rPr>
      <t>=</t>
    </r>
  </si>
  <si>
    <r>
      <t>b</t>
    </r>
    <r>
      <rPr>
        <vertAlign val="subscript"/>
        <sz val="8"/>
        <rFont val="Arial"/>
        <family val="2"/>
      </rPr>
      <t xml:space="preserve">parapeto </t>
    </r>
    <r>
      <rPr>
        <sz val="8"/>
        <rFont val="Arial"/>
        <family val="2"/>
      </rPr>
      <t>=</t>
    </r>
  </si>
  <si>
    <r>
      <t>t</t>
    </r>
    <r>
      <rPr>
        <vertAlign val="subscript"/>
        <sz val="8"/>
        <rFont val="Arial"/>
        <family val="2"/>
      </rPr>
      <t xml:space="preserve">inf.  </t>
    </r>
    <r>
      <rPr>
        <sz val="8"/>
        <rFont val="Arial"/>
        <family val="2"/>
      </rPr>
      <t>=</t>
    </r>
  </si>
  <si>
    <r>
      <t>N</t>
    </r>
    <r>
      <rPr>
        <vertAlign val="subscript"/>
        <sz val="8"/>
        <rFont val="Arial"/>
        <family val="2"/>
      </rPr>
      <t xml:space="preserve">min. </t>
    </r>
    <r>
      <rPr>
        <sz val="8"/>
        <rFont val="Arial"/>
        <family val="2"/>
      </rPr>
      <t>=</t>
    </r>
  </si>
  <si>
    <r>
      <t>(200+0.0017L+0.0067H)(1+0.000125S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</si>
  <si>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r>
      <t>γ</t>
    </r>
    <r>
      <rPr>
        <vertAlign val="subscript"/>
        <sz val="8"/>
        <rFont val="Times New Roman"/>
        <family val="1"/>
      </rPr>
      <t>r</t>
    </r>
  </si>
  <si>
    <r>
      <t>γ</t>
    </r>
    <r>
      <rPr>
        <vertAlign val="subscript"/>
        <sz val="8"/>
        <rFont val="Times New Roman"/>
        <family val="1"/>
      </rPr>
      <t>c</t>
    </r>
  </si>
  <si>
    <r>
      <t>K</t>
    </r>
    <r>
      <rPr>
        <vertAlign val="subscript"/>
        <sz val="8"/>
        <rFont val="Arial"/>
        <family val="2"/>
      </rPr>
      <t>A</t>
    </r>
    <r>
      <rPr>
        <sz val="8"/>
        <rFont val="Arial"/>
        <family val="2"/>
      </rPr>
      <t xml:space="preserve">   =</t>
    </r>
  </si>
  <si>
    <r>
      <t>Sen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(θ + φ)</t>
    </r>
  </si>
  <si>
    <r>
      <t>Sen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θ Sen (θ - δ)</t>
    </r>
  </si>
  <si>
    <r>
      <rPr>
        <sz val="8"/>
        <rFont val="Calibri"/>
        <family val="2"/>
      </rPr>
      <t>φ</t>
    </r>
    <r>
      <rPr>
        <sz val="8"/>
        <rFont val="Arial"/>
        <family val="2"/>
      </rPr>
      <t xml:space="preserve">    =</t>
    </r>
  </si>
  <si>
    <r>
      <rPr>
        <sz val="8"/>
        <rFont val="Calibri"/>
        <family val="2"/>
      </rPr>
      <t>δ</t>
    </r>
    <r>
      <rPr>
        <sz val="8"/>
        <rFont val="Arial"/>
        <family val="2"/>
      </rPr>
      <t xml:space="preserve">    =</t>
    </r>
  </si>
  <si>
    <r>
      <rPr>
        <sz val="8"/>
        <rFont val="Calibri"/>
        <family val="2"/>
      </rPr>
      <t>β</t>
    </r>
    <r>
      <rPr>
        <sz val="8"/>
        <rFont val="Arial"/>
        <family val="2"/>
      </rPr>
      <t xml:space="preserve">    =</t>
    </r>
  </si>
  <si>
    <r>
      <rPr>
        <sz val="8"/>
        <rFont val="Calibri"/>
        <family val="2"/>
      </rPr>
      <t>θ</t>
    </r>
    <r>
      <rPr>
        <sz val="8"/>
        <rFont val="Arial"/>
        <family val="2"/>
      </rPr>
      <t xml:space="preserve">    =</t>
    </r>
  </si>
  <si>
    <r>
      <t>γ</t>
    </r>
    <r>
      <rPr>
        <vertAlign val="subscript"/>
        <sz val="8"/>
        <rFont val="Times New Roman"/>
        <family val="1"/>
      </rPr>
      <t xml:space="preserve">r  </t>
    </r>
    <r>
      <rPr>
        <sz val="8"/>
        <rFont val="Arial"/>
        <family val="2"/>
      </rPr>
      <t>K</t>
    </r>
    <r>
      <rPr>
        <vertAlign val="subscript"/>
        <sz val="8"/>
        <rFont val="Arial"/>
        <family val="2"/>
      </rPr>
      <t>A</t>
    </r>
    <r>
      <rPr>
        <vertAlign val="subscript"/>
        <sz val="8"/>
        <rFont val="Times New Roman"/>
        <family val="1"/>
      </rPr>
      <t xml:space="preserve"> </t>
    </r>
    <r>
      <rPr>
        <sz val="8"/>
        <rFont val="Arial"/>
        <family val="2"/>
      </rPr>
      <t>H</t>
    </r>
    <r>
      <rPr>
        <vertAlign val="superscript"/>
        <sz val="8"/>
        <rFont val="Times New Roman"/>
        <family val="1"/>
      </rPr>
      <t>2</t>
    </r>
  </si>
  <si>
    <r>
      <t>K</t>
    </r>
    <r>
      <rPr>
        <vertAlign val="subscript"/>
        <sz val="8"/>
        <rFont val="Arial"/>
        <family val="2"/>
      </rPr>
      <t>AE</t>
    </r>
    <r>
      <rPr>
        <sz val="8"/>
        <rFont val="Arial"/>
        <family val="2"/>
      </rPr>
      <t xml:space="preserve">  =</t>
    </r>
  </si>
  <si>
    <r>
      <t>Cos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(</t>
    </r>
    <r>
      <rPr>
        <sz val="8"/>
        <rFont val="Calibri"/>
        <family val="2"/>
      </rPr>
      <t>φ - α - θ)</t>
    </r>
  </si>
  <si>
    <r>
      <t xml:space="preserve">Cos </t>
    </r>
    <r>
      <rPr>
        <sz val="8"/>
        <rFont val="Calibri"/>
        <family val="2"/>
      </rPr>
      <t>θ</t>
    </r>
    <r>
      <rPr>
        <sz val="8"/>
        <rFont val="Arial"/>
        <family val="2"/>
      </rPr>
      <t xml:space="preserve"> Cos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</t>
    </r>
    <r>
      <rPr>
        <sz val="8"/>
        <rFont val="Calibri"/>
        <family val="2"/>
      </rPr>
      <t>α</t>
    </r>
    <r>
      <rPr>
        <sz val="8"/>
        <rFont val="Arial"/>
        <family val="2"/>
      </rPr>
      <t xml:space="preserve"> Cos (</t>
    </r>
    <r>
      <rPr>
        <sz val="8"/>
        <rFont val="Calibri"/>
        <family val="2"/>
      </rPr>
      <t>δ + α + θ</t>
    </r>
    <r>
      <rPr>
        <sz val="8"/>
        <rFont val="Arial"/>
        <family val="2"/>
      </rPr>
      <t>)</t>
    </r>
  </si>
  <si>
    <r>
      <t>Sen (</t>
    </r>
    <r>
      <rPr>
        <sz val="8"/>
        <rFont val="Calibri"/>
        <family val="2"/>
      </rPr>
      <t>φ + δ) Sen (φ - β - θ</t>
    </r>
    <r>
      <rPr>
        <sz val="8"/>
        <rFont val="Arial"/>
        <family val="2"/>
      </rPr>
      <t>)</t>
    </r>
  </si>
  <si>
    <r>
      <t>Cos (</t>
    </r>
    <r>
      <rPr>
        <sz val="8"/>
        <rFont val="Calibri"/>
        <family val="2"/>
      </rPr>
      <t>δ + α + θ) Cos (β - α</t>
    </r>
    <r>
      <rPr>
        <sz val="8"/>
        <rFont val="Arial"/>
        <family val="2"/>
      </rPr>
      <t>)</t>
    </r>
  </si>
  <si>
    <r>
      <rPr>
        <sz val="8"/>
        <rFont val="Calibri"/>
        <family val="2"/>
      </rPr>
      <t>α</t>
    </r>
    <r>
      <rPr>
        <sz val="8"/>
        <rFont val="Arial"/>
        <family val="2"/>
      </rPr>
      <t xml:space="preserve">    =</t>
    </r>
  </si>
  <si>
    <r>
      <t>E</t>
    </r>
    <r>
      <rPr>
        <vertAlign val="subscript"/>
        <sz val="8"/>
        <rFont val="Arial"/>
        <family val="2"/>
      </rPr>
      <t>AE</t>
    </r>
    <r>
      <rPr>
        <sz val="8"/>
        <rFont val="Arial"/>
        <family val="2"/>
      </rPr>
      <t xml:space="preserve">  =</t>
    </r>
  </si>
  <si>
    <r>
      <t>γ</t>
    </r>
    <r>
      <rPr>
        <vertAlign val="subscript"/>
        <sz val="8"/>
        <rFont val="Times New Roman"/>
        <family val="1"/>
      </rPr>
      <t xml:space="preserve">r  </t>
    </r>
    <r>
      <rPr>
        <sz val="8"/>
        <rFont val="Arial"/>
        <family val="2"/>
      </rPr>
      <t>K</t>
    </r>
    <r>
      <rPr>
        <vertAlign val="subscript"/>
        <sz val="8"/>
        <rFont val="Arial"/>
        <family val="2"/>
      </rPr>
      <t>AE</t>
    </r>
    <r>
      <rPr>
        <vertAlign val="subscript"/>
        <sz val="8"/>
        <rFont val="Times New Roman"/>
        <family val="1"/>
      </rPr>
      <t xml:space="preserve"> </t>
    </r>
    <r>
      <rPr>
        <sz val="8"/>
        <rFont val="Arial"/>
        <family val="2"/>
      </rPr>
      <t>H</t>
    </r>
    <r>
      <rPr>
        <vertAlign val="superscript"/>
        <sz val="8"/>
        <rFont val="Times New Roman"/>
        <family val="1"/>
      </rPr>
      <t xml:space="preserve">2 </t>
    </r>
    <r>
      <rPr>
        <sz val="8"/>
        <rFont val="Arial"/>
        <family val="2"/>
      </rPr>
      <t>(1 - Kv)</t>
    </r>
  </si>
  <si>
    <r>
      <rPr>
        <sz val="8"/>
        <rFont val="Calibri"/>
        <family val="2"/>
      </rPr>
      <t>Δ</t>
    </r>
    <r>
      <rPr>
        <sz val="8"/>
        <rFont val="Arial"/>
        <family val="2"/>
      </rPr>
      <t>E</t>
    </r>
    <r>
      <rPr>
        <vertAlign val="subscript"/>
        <sz val="8"/>
        <rFont val="Arial"/>
        <family val="2"/>
      </rPr>
      <t>AE</t>
    </r>
    <r>
      <rPr>
        <sz val="8"/>
        <rFont val="Arial"/>
        <family val="2"/>
      </rPr>
      <t>=</t>
    </r>
  </si>
  <si>
    <r>
      <t>w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  =</t>
    </r>
  </si>
  <si>
    <r>
      <t>h</t>
    </r>
    <r>
      <rPr>
        <vertAlign val="subscript"/>
        <sz val="8"/>
        <rFont val="Times New Roman"/>
        <family val="1"/>
      </rPr>
      <t>eq</t>
    </r>
    <r>
      <rPr>
        <sz val="8"/>
        <rFont val="Times New Roman"/>
        <family val="1"/>
      </rPr>
      <t xml:space="preserve"> γ</t>
    </r>
    <r>
      <rPr>
        <vertAlign val="subscript"/>
        <sz val="8"/>
        <rFont val="Times New Roman"/>
        <family val="1"/>
      </rPr>
      <t xml:space="preserve">r  </t>
    </r>
    <r>
      <rPr>
        <sz val="10"/>
        <rFont val="Arial"/>
        <family val="2"/>
      </rPr>
      <t/>
    </r>
  </si>
  <si>
    <r>
      <t>LS</t>
    </r>
    <r>
      <rPr>
        <vertAlign val="subscript"/>
        <sz val="8"/>
        <rFont val="Arial"/>
        <family val="2"/>
      </rPr>
      <t xml:space="preserve">H </t>
    </r>
    <r>
      <rPr>
        <sz val="8"/>
        <rFont val="Arial"/>
        <family val="2"/>
      </rPr>
      <t>=</t>
    </r>
  </si>
  <si>
    <r>
      <t>K</t>
    </r>
    <r>
      <rPr>
        <vertAlign val="subscript"/>
        <sz val="8"/>
        <rFont val="Arial"/>
        <family val="2"/>
      </rPr>
      <t xml:space="preserve">A </t>
    </r>
    <r>
      <rPr>
        <sz val="8"/>
        <rFont val="Arial"/>
        <family val="2"/>
      </rPr>
      <t>w</t>
    </r>
    <r>
      <rPr>
        <vertAlign val="subscript"/>
        <sz val="8"/>
        <rFont val="Arial"/>
        <family val="2"/>
      </rPr>
      <t xml:space="preserve">L </t>
    </r>
    <r>
      <rPr>
        <sz val="8"/>
        <rFont val="Arial"/>
        <family val="2"/>
      </rPr>
      <t>H  =</t>
    </r>
  </si>
  <si>
    <r>
      <t>LS</t>
    </r>
    <r>
      <rPr>
        <vertAlign val="subscript"/>
        <sz val="8"/>
        <rFont val="Arial"/>
        <family val="2"/>
      </rPr>
      <t xml:space="preserve">V </t>
    </r>
    <r>
      <rPr>
        <sz val="8"/>
        <rFont val="Arial"/>
        <family val="2"/>
      </rPr>
      <t>=</t>
    </r>
  </si>
  <si>
    <r>
      <t>w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 (ancho de talón)</t>
    </r>
  </si>
  <si>
    <r>
      <t>LS</t>
    </r>
    <r>
      <rPr>
        <vertAlign val="subscript"/>
        <sz val="8"/>
        <rFont val="Arial"/>
        <family val="2"/>
      </rPr>
      <t xml:space="preserve">H </t>
    </r>
  </si>
  <si>
    <r>
      <t>LS</t>
    </r>
    <r>
      <rPr>
        <vertAlign val="subscript"/>
        <sz val="8"/>
        <rFont val="Arial"/>
        <family val="2"/>
      </rPr>
      <t xml:space="preserve">V </t>
    </r>
  </si>
  <si>
    <r>
      <t>LS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</t>
    </r>
  </si>
  <si>
    <r>
      <rPr>
        <sz val="8"/>
        <rFont val="Calibri"/>
        <family val="2"/>
      </rPr>
      <t>Σ</t>
    </r>
    <r>
      <rPr>
        <sz val="8"/>
        <rFont val="Arial"/>
        <family val="2"/>
      </rPr>
      <t>Fv</t>
    </r>
  </si>
  <si>
    <r>
      <rPr>
        <sz val="8"/>
        <rFont val="Calibri"/>
        <family val="2"/>
      </rPr>
      <t>Σ</t>
    </r>
    <r>
      <rPr>
        <sz val="8"/>
        <rFont val="Arial"/>
        <family val="2"/>
      </rPr>
      <t>Fh</t>
    </r>
  </si>
  <si>
    <t>m</t>
  </si>
  <si>
    <t>Donde:</t>
  </si>
  <si>
    <t>=</t>
  </si>
  <si>
    <t>f'c</t>
  </si>
  <si>
    <t>fy</t>
  </si>
  <si>
    <t>n</t>
  </si>
  <si>
    <t>A</t>
  </si>
  <si>
    <t>-</t>
  </si>
  <si>
    <t>a</t>
  </si>
  <si>
    <t>+</t>
  </si>
  <si>
    <t>mm</t>
  </si>
  <si>
    <t>DC</t>
  </si>
  <si>
    <t>DW</t>
  </si>
  <si>
    <t>min</t>
  </si>
  <si>
    <t>(m)</t>
  </si>
  <si>
    <t>L     =</t>
  </si>
  <si>
    <t>S    =</t>
  </si>
  <si>
    <t>PUENTE VIGA LOSA</t>
  </si>
  <si>
    <t>0.45 a 0.5 H)</t>
  </si>
  <si>
    <t>DISEÑO DE ESTRIBO DERECHO (MURO EN GRAVEDAD 4 m.)</t>
  </si>
  <si>
    <t>(0.5H, 0.7H)</t>
  </si>
  <si>
    <t>(H/6, H/8)</t>
  </si>
  <si>
    <t>viga+asfalto+losa</t>
  </si>
  <si>
    <t>planito</t>
  </si>
  <si>
    <t>Tabla</t>
  </si>
  <si>
    <t>Kv=1.4*kh</t>
  </si>
  <si>
    <t>planitto</t>
  </si>
  <si>
    <t>Tabla 3.11</t>
  </si>
  <si>
    <t>H/2</t>
  </si>
  <si>
    <t>Ea(Relleno)</t>
  </si>
  <si>
    <t>Edina.</t>
  </si>
  <si>
    <t>FACTORES DE</t>
  </si>
  <si>
    <r>
      <t>V</t>
    </r>
    <r>
      <rPr>
        <sz val="8"/>
        <rFont val="Times New Roman"/>
        <family val="1"/>
      </rPr>
      <t>L</t>
    </r>
  </si>
  <si>
    <r>
      <t>M</t>
    </r>
    <r>
      <rPr>
        <sz val="8"/>
        <rFont val="Times New Roman"/>
        <family val="1"/>
      </rPr>
      <t>V</t>
    </r>
  </si>
  <si>
    <r>
      <t>M</t>
    </r>
    <r>
      <rPr>
        <sz val="8"/>
        <rFont val="Times New Roman"/>
        <family val="1"/>
      </rPr>
      <t>H</t>
    </r>
  </si>
  <si>
    <t>emax+</t>
  </si>
  <si>
    <t>MARGEN DE DISEÑO %</t>
  </si>
  <si>
    <t>RESISTENCIA</t>
  </si>
  <si>
    <t>(T)</t>
  </si>
  <si>
    <t>(T-M)</t>
  </si>
  <si>
    <t>(Mv-Mh)/VL</t>
  </si>
  <si>
    <t>B/2-Xo</t>
  </si>
  <si>
    <t>(%)</t>
  </si>
  <si>
    <t>DISEÑO DE MURO DE GRAVEDAD</t>
  </si>
  <si>
    <t>1)</t>
  </si>
  <si>
    <t>ESPECIFICACIONES  GENERALES  :</t>
  </si>
  <si>
    <t>Pesos especifico del Co:</t>
  </si>
  <si>
    <t>ton/m3</t>
  </si>
  <si>
    <t>CARACTERISTICAS DEL TERRENO</t>
  </si>
  <si>
    <r>
      <t xml:space="preserve">Angulo friccion interna </t>
    </r>
    <r>
      <rPr>
        <sz val="10"/>
        <rFont val="Arial"/>
        <family val="2"/>
      </rPr>
      <t>f =</t>
    </r>
  </si>
  <si>
    <t>grados</t>
  </si>
  <si>
    <t>estribo derecho</t>
  </si>
  <si>
    <r>
      <t xml:space="preserve">Angulo friccion base </t>
    </r>
    <r>
      <rPr>
        <sz val="10"/>
        <rFont val="Arial"/>
        <family val="2"/>
      </rPr>
      <t>d =</t>
    </r>
  </si>
  <si>
    <t>angulo de friccion en la base de cimentacion</t>
  </si>
  <si>
    <r>
      <t xml:space="preserve">Resistencia del suelo    </t>
    </r>
    <r>
      <rPr>
        <sz val="10"/>
        <rFont val="Arial"/>
        <family val="2"/>
      </rPr>
      <t>si:</t>
    </r>
  </si>
  <si>
    <t>e=0.6  y  b=4</t>
  </si>
  <si>
    <t>Coef, de friccion</t>
  </si>
  <si>
    <t>B = Angulo del vástago</t>
  </si>
  <si>
    <t xml:space="preserve">SC </t>
  </si>
  <si>
    <t>ton/m2</t>
  </si>
  <si>
    <t>CARACTERISTICAS GEODINAMICA</t>
  </si>
  <si>
    <t>Zonificacion sismica   Z =</t>
  </si>
  <si>
    <t>Ubicacion en el mapa</t>
  </si>
  <si>
    <t>Factor de aceleracion max =</t>
  </si>
  <si>
    <t>g</t>
  </si>
  <si>
    <t>La aceleracion maxima permitida</t>
  </si>
  <si>
    <t>COMBINACIONES DE CARGA Y FACTORES DE CARGA</t>
  </si>
  <si>
    <t>Combinación de carga</t>
  </si>
  <si>
    <t>Resistencia I</t>
  </si>
  <si>
    <t>Servicio I</t>
  </si>
  <si>
    <t>Evento Extrem I</t>
  </si>
  <si>
    <t>DONDE:</t>
  </si>
  <si>
    <t>DC:</t>
  </si>
  <si>
    <t>Peso propio de los componentes estructurales y accesorios no estructurales</t>
  </si>
  <si>
    <t>EH:</t>
  </si>
  <si>
    <t>Empuje horizontal del suelo</t>
  </si>
  <si>
    <t>EV:</t>
  </si>
  <si>
    <t>Presión vertical de peso propio del suelo de relleno</t>
  </si>
  <si>
    <t>EQ:</t>
  </si>
  <si>
    <t>Fuerza de sismo</t>
  </si>
  <si>
    <t>LL:</t>
  </si>
  <si>
    <t>Sobrecarga viva</t>
  </si>
  <si>
    <t>2)</t>
  </si>
  <si>
    <t>DETERMINACION DEL PESO PROPIO  ESTRIBO Y RELLENO NO FACTORIZADOS</t>
  </si>
  <si>
    <t>peso especifico concreto =</t>
  </si>
  <si>
    <t>peso unitario del concreto</t>
  </si>
  <si>
    <t>altura de relleno     H =</t>
  </si>
  <si>
    <t>altura total del estribo</t>
  </si>
  <si>
    <t>altura de la Pantalla    Hp =</t>
  </si>
  <si>
    <t>altura de la pantalla para diseno</t>
  </si>
  <si>
    <t>altura de la cajuela   Hc=</t>
  </si>
  <si>
    <t>altura de la cajuela para diseno</t>
  </si>
  <si>
    <t>base de la zapata    B =</t>
  </si>
  <si>
    <t>largo de la zapata</t>
  </si>
  <si>
    <t>base de la zapata punta   Bp =</t>
  </si>
  <si>
    <t>Punta zapata.</t>
  </si>
  <si>
    <t>base de la zapata talon    Bt =</t>
  </si>
  <si>
    <t>Talon zapata.</t>
  </si>
  <si>
    <t>ancho de zapata =</t>
  </si>
  <si>
    <t>segun el ancho de tablero mas vereda</t>
  </si>
  <si>
    <t>ancho de pantalla (1)   t =</t>
  </si>
  <si>
    <t>espesor de pantalla</t>
  </si>
  <si>
    <t>ancho de pantalla (2)   t =</t>
  </si>
  <si>
    <t>espesor de pantalla en base.</t>
  </si>
  <si>
    <t>peralte de zapata h =</t>
  </si>
  <si>
    <t>espesor de zapata</t>
  </si>
  <si>
    <t>coeficiente sismico horizon</t>
  </si>
  <si>
    <t>peso especifico relleno =</t>
  </si>
  <si>
    <t>peso unitario del relleno</t>
  </si>
  <si>
    <t>coef. Fricc. Concreto-terren</t>
  </si>
  <si>
    <t>para efectos deslizamiento</t>
  </si>
  <si>
    <r>
      <t xml:space="preserve">angulo friccion interna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</rPr>
      <t xml:space="preserve"> =</t>
    </r>
  </si>
  <si>
    <t>angulo de inclinacion del rell.</t>
  </si>
  <si>
    <t>estribo izquierdo</t>
  </si>
  <si>
    <t>angulo friccion interna &lt;i =</t>
  </si>
  <si>
    <r>
      <t xml:space="preserve">angulo </t>
    </r>
    <r>
      <rPr>
        <sz val="10"/>
        <rFont val="Symbol"/>
        <family val="1"/>
        <charset val="2"/>
      </rPr>
      <t>b</t>
    </r>
    <r>
      <rPr>
        <sz val="10"/>
        <rFont val="Arial"/>
        <family val="2"/>
      </rPr>
      <t xml:space="preserve"> =</t>
    </r>
  </si>
  <si>
    <r>
      <t xml:space="preserve">angulo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 xml:space="preserve"> =</t>
    </r>
  </si>
  <si>
    <t>sobrecarga camion s/c=</t>
  </si>
  <si>
    <t>sobrecarga en relleno</t>
  </si>
  <si>
    <t>longitud sobrecarga ls/c=</t>
  </si>
  <si>
    <t>longitud de sobrecarga relleno</t>
  </si>
  <si>
    <t>altura por sobrecarga hs/c=</t>
  </si>
  <si>
    <t>longitud del muro =</t>
  </si>
  <si>
    <t>&lt;==cambiar para analizar por metro lineal</t>
  </si>
  <si>
    <t>A = Area de la zapata=Bx1.00:</t>
  </si>
  <si>
    <t>COORD. ESTRIBOS</t>
  </si>
  <si>
    <t>PROPIEDADES GEOMETRICAS</t>
  </si>
  <si>
    <t>COORD. RELLENO</t>
  </si>
  <si>
    <t>ESTRIBOS</t>
  </si>
  <si>
    <t>X</t>
  </si>
  <si>
    <t>Y</t>
  </si>
  <si>
    <t>Y MECANICAS</t>
  </si>
  <si>
    <t>EXISTE</t>
  </si>
  <si>
    <r>
      <t>D</t>
    </r>
    <r>
      <rPr>
        <b/>
        <sz val="12"/>
        <rFont val="Arial"/>
        <family val="2"/>
      </rPr>
      <t>x</t>
    </r>
  </si>
  <si>
    <r>
      <t>D</t>
    </r>
    <r>
      <rPr>
        <b/>
        <sz val="12"/>
        <rFont val="Arial"/>
        <family val="2"/>
      </rPr>
      <t>y</t>
    </r>
  </si>
  <si>
    <r>
      <t>S</t>
    </r>
    <r>
      <rPr>
        <b/>
        <sz val="12"/>
        <rFont val="Arial"/>
        <family val="2"/>
      </rPr>
      <t>x</t>
    </r>
  </si>
  <si>
    <r>
      <t>S</t>
    </r>
    <r>
      <rPr>
        <b/>
        <sz val="12"/>
        <rFont val="Arial"/>
        <family val="2"/>
      </rPr>
      <t>y</t>
    </r>
  </si>
  <si>
    <t>Ax</t>
  </si>
  <si>
    <t>Ay</t>
  </si>
  <si>
    <t>Ix</t>
  </si>
  <si>
    <t>Iy</t>
  </si>
  <si>
    <t>xy-xy</t>
  </si>
  <si>
    <t>Ixy</t>
  </si>
  <si>
    <t>aplicacion (A)</t>
  </si>
  <si>
    <t>AREA ESTR</t>
  </si>
  <si>
    <t>Ancho de Base</t>
  </si>
  <si>
    <t>Peralte zapata</t>
  </si>
  <si>
    <t>ancho pie</t>
  </si>
  <si>
    <t>F.conc</t>
  </si>
  <si>
    <t>Ton</t>
  </si>
  <si>
    <t>M.conc</t>
  </si>
  <si>
    <t>Ton-m</t>
  </si>
  <si>
    <t>M.Inercia Co</t>
  </si>
  <si>
    <t>punta</t>
  </si>
  <si>
    <t>AREA RELL</t>
  </si>
  <si>
    <t>cajuela</t>
  </si>
  <si>
    <t>F.relleno</t>
  </si>
  <si>
    <t>M.relleno</t>
  </si>
  <si>
    <t>M.Inercia rell</t>
  </si>
  <si>
    <t>M.total (XX)</t>
  </si>
  <si>
    <t xml:space="preserve">F.total </t>
  </si>
  <si>
    <t>M.total (YY)</t>
  </si>
  <si>
    <t>XX</t>
  </si>
  <si>
    <t>YY</t>
  </si>
  <si>
    <t>Peralte sup.</t>
  </si>
  <si>
    <t>Peralte infe.</t>
  </si>
  <si>
    <t>3)</t>
  </si>
  <si>
    <t>DETERMINACION DEL EMPUJE DE RELLENO SOBRE EL MURO (Ea)</t>
  </si>
  <si>
    <t>3.1) Empuje activo estático (por metro) de estribo</t>
  </si>
  <si>
    <t>Si se permite que el estribo se mueva alejándose gradualmente de la masa de suelo, entonces el esfuerzo efectivo principal horizontal decrecerá,</t>
  </si>
  <si>
    <t>se alcanzará un estado en el que la condición de esfuerzo en el elemento de suelo será el estado de equilibrio plástico (condición en que cada punto</t>
  </si>
  <si>
    <t>IY</t>
  </si>
  <si>
    <r>
      <t xml:space="preserve">de la masa de suelo esta a punto de fallar) y ocurrirá la falla de suelo denominado </t>
    </r>
    <r>
      <rPr>
        <b/>
        <sz val="10"/>
        <rFont val="Arial"/>
        <family val="2"/>
      </rPr>
      <t>Estado Activo de Rankine.</t>
    </r>
  </si>
  <si>
    <t>RELLENO</t>
  </si>
  <si>
    <t>Se usará el coeficiente de Rankine para suelos homogeneos:</t>
  </si>
  <si>
    <r>
      <t>E</t>
    </r>
    <r>
      <rPr>
        <vertAlign val="subscript"/>
        <sz val="10"/>
        <rFont val="Arial"/>
        <family val="2"/>
      </rPr>
      <t xml:space="preserve">A </t>
    </r>
    <r>
      <rPr>
        <sz val="10"/>
        <rFont val="Arial"/>
        <family val="2"/>
      </rPr>
      <t>= Empuje Activo Estático por longitud unitaria (ton).</t>
    </r>
  </si>
  <si>
    <r>
      <t>f</t>
    </r>
    <r>
      <rPr>
        <sz val="12"/>
        <rFont val="Times New Roman"/>
        <family val="1"/>
      </rPr>
      <t xml:space="preserve"> = Angulo de fricción del suelo. (relleno)</t>
    </r>
  </si>
  <si>
    <r>
      <t>K</t>
    </r>
    <r>
      <rPr>
        <vertAlign val="subscript"/>
        <sz val="10"/>
        <rFont val="Arial"/>
        <family val="2"/>
      </rPr>
      <t xml:space="preserve">A </t>
    </r>
    <r>
      <rPr>
        <sz val="10"/>
        <rFont val="Arial"/>
        <family val="2"/>
      </rPr>
      <t>= Coeficiente de Presión Activa de Tierra de Rankine.</t>
    </r>
  </si>
  <si>
    <r>
      <t>g</t>
    </r>
    <r>
      <rPr>
        <sz val="12"/>
        <rFont val="Times New Roman"/>
        <family val="1"/>
      </rPr>
      <t xml:space="preserve"> = Peso especifico del suelo.</t>
    </r>
  </si>
  <si>
    <r>
      <t>K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=</t>
    </r>
  </si>
  <si>
    <t>TOTAL</t>
  </si>
  <si>
    <r>
      <t>E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</t>
    </r>
  </si>
  <si>
    <r>
      <t>Efecto estatico  M</t>
    </r>
    <r>
      <rPr>
        <vertAlign val="subscript"/>
        <sz val="10"/>
        <rFont val="Arial"/>
        <family val="2"/>
      </rPr>
      <t>AE</t>
    </r>
    <r>
      <rPr>
        <sz val="10"/>
        <rFont val="Arial"/>
        <family val="2"/>
      </rPr>
      <t xml:space="preserve"> es :</t>
    </r>
  </si>
  <si>
    <r>
      <t>M</t>
    </r>
    <r>
      <rPr>
        <b/>
        <vertAlign val="subscript"/>
        <sz val="10"/>
        <rFont val="Arial"/>
        <family val="2"/>
      </rPr>
      <t>AE</t>
    </r>
    <r>
      <rPr>
        <b/>
        <sz val="10"/>
        <rFont val="Arial"/>
        <family val="2"/>
      </rPr>
      <t xml:space="preserve"> =</t>
    </r>
  </si>
  <si>
    <t>3.2) CASO I: fuerzas sin factorar el estribo con rellerno y sin sobrecarga</t>
  </si>
  <si>
    <t>Fuerzas desestabilizantes</t>
  </si>
  <si>
    <t>Empuje relleno: Ea</t>
  </si>
  <si>
    <t>Momento de volteo:</t>
  </si>
  <si>
    <t>Mv=Eh*H/3      =</t>
  </si>
  <si>
    <t>Fuerzas estabilizadoras</t>
  </si>
  <si>
    <t>TIPO</t>
  </si>
  <si>
    <t>Fza VERT.</t>
  </si>
  <si>
    <t>BRAZO</t>
  </si>
  <si>
    <t>MOMENTO</t>
  </si>
  <si>
    <t>Peso muro:  Dce=</t>
  </si>
  <si>
    <t>Peso relleno: DCr=</t>
  </si>
  <si>
    <t xml:space="preserve">TOTAL        </t>
  </si>
  <si>
    <t>3.3) CASO II.- fuerzas sin factorar del estribo con sobrecarga :</t>
  </si>
  <si>
    <t>hs = altura adicional por sobrecarga Ws/c/Peso especifico :</t>
  </si>
  <si>
    <t>fuerzas desestabilizantes</t>
  </si>
  <si>
    <t>Fza Hor(T)</t>
  </si>
  <si>
    <t>BRAZO(m)</t>
  </si>
  <si>
    <t>MOMENTO(T-m)</t>
  </si>
  <si>
    <t>E.S/C,HL(s/c)=Ka*Ws/c*H:</t>
  </si>
  <si>
    <t>fuerzas estabilizadoras</t>
  </si>
  <si>
    <t>Fza Vert(T)</t>
  </si>
  <si>
    <r>
      <t>Fza S/C:VL(s/c)=</t>
    </r>
    <r>
      <rPr>
        <sz val="10"/>
        <rFont val="Symbol"/>
        <family val="1"/>
        <charset val="2"/>
      </rPr>
      <t>g</t>
    </r>
    <r>
      <rPr>
        <sz val="10"/>
        <rFont val="Arial"/>
        <family val="2"/>
      </rPr>
      <t>*Bs/c*hs :</t>
    </r>
  </si>
  <si>
    <t>4)</t>
  </si>
  <si>
    <t>CARGAS DE DISENO FACTORADAS POR METODO LRFD</t>
  </si>
  <si>
    <t>I) fuerzas estabilizantes</t>
  </si>
  <si>
    <t>4.1) Fuerzas verticales  Vu (t/m)</t>
  </si>
  <si>
    <t>ITEMS</t>
  </si>
  <si>
    <t>muro</t>
  </si>
  <si>
    <t>relleno</t>
  </si>
  <si>
    <t>VU</t>
  </si>
  <si>
    <t>NOTACION</t>
  </si>
  <si>
    <t>T/m</t>
  </si>
  <si>
    <t>Vi</t>
  </si>
  <si>
    <t>Total</t>
  </si>
  <si>
    <t>Momentos debido a Vu (t-m/m)</t>
  </si>
  <si>
    <t>MVU</t>
  </si>
  <si>
    <t>MVi</t>
  </si>
  <si>
    <t>II) fuerzas desestabilizantes</t>
  </si>
  <si>
    <t>4.2) Fuerzas horizontales Vuh (t/m)</t>
  </si>
  <si>
    <t>s/c HL</t>
  </si>
  <si>
    <t>Vuh</t>
  </si>
  <si>
    <t>LS</t>
  </si>
  <si>
    <t>Hi</t>
  </si>
  <si>
    <t>Momentos debido a fuerza horizontal Vuh (t-m/m)</t>
  </si>
  <si>
    <t>Muh</t>
  </si>
  <si>
    <t>MHi</t>
  </si>
  <si>
    <t>total</t>
  </si>
  <si>
    <t>5)</t>
  </si>
  <si>
    <t>ANALISIS   POR    SISMO  (METODO DE MONONOBE  OKABE).</t>
  </si>
  <si>
    <r>
      <t>5.1) Empuje activo dinamico por metro de estribo (metodo de Mononobe Okabe) E</t>
    </r>
    <r>
      <rPr>
        <b/>
        <vertAlign val="subscript"/>
        <sz val="12"/>
        <rFont val="Times New Roman"/>
        <family val="1"/>
      </rPr>
      <t>AE</t>
    </r>
  </si>
  <si>
    <t>Segun la categoria del comportamiento sismico para estribos en voladizo que puedan desplazarse horizontalmente</t>
  </si>
  <si>
    <t xml:space="preserve">sin que exista algun tipo de restriccion a este desplazamiento se recomienda el metodo seudo-estatico de Mononobe </t>
  </si>
  <si>
    <t xml:space="preserve">Okabe para la determinacion del empuje activo horizontales, se recomienda el uso de los coeficientes sismicos a </t>
  </si>
  <si>
    <r>
      <t>la mitad del coeficiente de la aceleracion K</t>
    </r>
    <r>
      <rPr>
        <vertAlign val="subscript"/>
        <sz val="10"/>
        <rFont val="Arial"/>
        <family val="2"/>
      </rPr>
      <t>H</t>
    </r>
    <r>
      <rPr>
        <sz val="10"/>
        <rFont val="Arial"/>
        <family val="2"/>
      </rPr>
      <t>=A/2 se desprecia los efectos de aceleracion vertical</t>
    </r>
  </si>
  <si>
    <t>donde :</t>
  </si>
  <si>
    <r>
      <t>f</t>
    </r>
    <r>
      <rPr>
        <sz val="12"/>
        <rFont val="Times New Roman"/>
        <family val="1"/>
      </rPr>
      <t xml:space="preserve"> = Angulo de fricción del suelo</t>
    </r>
  </si>
  <si>
    <r>
      <t>d</t>
    </r>
    <r>
      <rPr>
        <sz val="12"/>
        <rFont val="Times New Roman"/>
        <family val="1"/>
      </rPr>
      <t xml:space="preserve"> = Angulo fricción entre suelo y muro</t>
    </r>
  </si>
  <si>
    <t>i = Angulo del talud</t>
  </si>
  <si>
    <r>
      <t>b</t>
    </r>
    <r>
      <rPr>
        <sz val="12"/>
        <rFont val="Times New Roman"/>
        <family val="1"/>
      </rPr>
      <t xml:space="preserve"> = Angulo del vástago</t>
    </r>
  </si>
  <si>
    <t>(b)</t>
  </si>
  <si>
    <r>
      <t>K</t>
    </r>
    <r>
      <rPr>
        <vertAlign val="subscript"/>
        <sz val="12"/>
        <rFont val="Times New Roman"/>
        <family val="1"/>
      </rPr>
      <t>H</t>
    </r>
    <r>
      <rPr>
        <sz val="12"/>
        <rFont val="Times New Roman"/>
        <family val="1"/>
      </rPr>
      <t>= Coeficiente sísmico horizontal</t>
    </r>
  </si>
  <si>
    <r>
      <t>K</t>
    </r>
    <r>
      <rPr>
        <b/>
        <vertAlign val="subscript"/>
        <sz val="10"/>
        <rFont val="Arial"/>
        <family val="2"/>
      </rPr>
      <t>H</t>
    </r>
    <r>
      <rPr>
        <b/>
        <sz val="10"/>
        <rFont val="Arial"/>
        <family val="2"/>
      </rPr>
      <t xml:space="preserve"> =</t>
    </r>
  </si>
  <si>
    <r>
      <t>K</t>
    </r>
    <r>
      <rPr>
        <vertAlign val="subscript"/>
        <sz val="12"/>
        <rFont val="Times New Roman"/>
        <family val="1"/>
      </rPr>
      <t>V</t>
    </r>
    <r>
      <rPr>
        <sz val="12"/>
        <rFont val="Times New Roman"/>
        <family val="1"/>
      </rPr>
      <t>= Coeficiente sísmico vertical</t>
    </r>
  </si>
  <si>
    <r>
      <t>se supone que 0.3K</t>
    </r>
    <r>
      <rPr>
        <vertAlign val="subscript"/>
        <sz val="10"/>
        <rFont val="Arial"/>
        <family val="2"/>
      </rPr>
      <t>H</t>
    </r>
    <r>
      <rPr>
        <sz val="10"/>
        <rFont val="Arial"/>
        <family val="2"/>
      </rPr>
      <t xml:space="preserve"> &lt; K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&lt; 0.5 K</t>
    </r>
    <r>
      <rPr>
        <vertAlign val="subscript"/>
        <sz val="10"/>
        <rFont val="Arial"/>
        <family val="2"/>
      </rPr>
      <t>H</t>
    </r>
  </si>
  <si>
    <r>
      <t>para el presente caso tenemos:  0.3x0.15 &lt; K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&lt; 0.5x0.15</t>
    </r>
  </si>
  <si>
    <r>
      <t>K</t>
    </r>
    <r>
      <rPr>
        <b/>
        <vertAlign val="subscript"/>
        <sz val="10"/>
        <rFont val="Arial"/>
        <family val="2"/>
      </rPr>
      <t>V</t>
    </r>
    <r>
      <rPr>
        <b/>
        <sz val="10"/>
        <rFont val="Arial"/>
        <family val="2"/>
      </rPr>
      <t xml:space="preserve"> =</t>
    </r>
  </si>
  <si>
    <t>sustituyendo valores en la ecuacion siguiente :</t>
  </si>
  <si>
    <r>
      <t>q</t>
    </r>
    <r>
      <rPr>
        <b/>
        <sz val="10"/>
        <rFont val="Arial"/>
        <family val="2"/>
      </rPr>
      <t xml:space="preserve"> =</t>
    </r>
  </si>
  <si>
    <t>sustituyendo en la ecuacion  (b)</t>
  </si>
  <si>
    <r>
      <t>y</t>
    </r>
    <r>
      <rPr>
        <b/>
        <sz val="10"/>
        <rFont val="Arial"/>
        <family val="2"/>
      </rPr>
      <t xml:space="preserve"> =</t>
    </r>
  </si>
  <si>
    <r>
      <t xml:space="preserve">con los resultado de </t>
    </r>
    <r>
      <rPr>
        <sz val="10"/>
        <rFont val="Symbol"/>
        <family val="1"/>
        <charset val="2"/>
      </rPr>
      <t>y</t>
    </r>
    <r>
      <rPr>
        <sz val="10"/>
        <rFont val="Arial"/>
        <family val="2"/>
      </rPr>
      <t xml:space="preserve"> determinamos el valor de K</t>
    </r>
    <r>
      <rPr>
        <vertAlign val="subscript"/>
        <sz val="10"/>
        <rFont val="Arial"/>
        <family val="2"/>
      </rPr>
      <t>AE</t>
    </r>
  </si>
  <si>
    <r>
      <t>K</t>
    </r>
    <r>
      <rPr>
        <b/>
        <vertAlign val="subscript"/>
        <sz val="10"/>
        <rFont val="Arial"/>
        <family val="2"/>
      </rPr>
      <t>AE</t>
    </r>
    <r>
      <rPr>
        <b/>
        <sz val="10"/>
        <rFont val="Arial"/>
        <family val="2"/>
      </rPr>
      <t xml:space="preserve"> =</t>
    </r>
  </si>
  <si>
    <r>
      <t>Sustituyendo el valor de K</t>
    </r>
    <r>
      <rPr>
        <vertAlign val="subscript"/>
        <sz val="10"/>
        <rFont val="Arial"/>
        <family val="2"/>
      </rPr>
      <t>AE</t>
    </r>
    <r>
      <rPr>
        <sz val="10"/>
        <rFont val="Arial"/>
        <family val="2"/>
      </rPr>
      <t xml:space="preserve"> en E</t>
    </r>
    <r>
      <rPr>
        <vertAlign val="subscript"/>
        <sz val="10"/>
        <rFont val="Arial"/>
        <family val="2"/>
      </rPr>
      <t>AE</t>
    </r>
    <r>
      <rPr>
        <sz val="10"/>
        <rFont val="Arial"/>
        <family val="2"/>
      </rPr>
      <t xml:space="preserve"> :</t>
    </r>
  </si>
  <si>
    <t>EA=</t>
  </si>
  <si>
    <r>
      <t>E</t>
    </r>
    <r>
      <rPr>
        <b/>
        <vertAlign val="subscript"/>
        <sz val="10"/>
        <rFont val="Arial"/>
        <family val="2"/>
      </rPr>
      <t>AE</t>
    </r>
    <r>
      <rPr>
        <b/>
        <sz val="10"/>
        <rFont val="Arial"/>
        <family val="2"/>
      </rPr>
      <t xml:space="preserve"> =</t>
    </r>
  </si>
  <si>
    <r>
      <t>Como el E</t>
    </r>
    <r>
      <rPr>
        <vertAlign val="subscript"/>
        <sz val="10"/>
        <rFont val="Arial"/>
        <family val="2"/>
      </rPr>
      <t>EA</t>
    </r>
    <r>
      <rPr>
        <sz val="10"/>
        <rFont val="Arial"/>
        <family val="2"/>
      </rPr>
      <t xml:space="preserve"> es considerando los efectos de la dos condiciones tanto del empuje activo dinamico </t>
    </r>
  </si>
  <si>
    <t>como del empuje activo estatico, por los que es conveniente separarlo</t>
  </si>
  <si>
    <r>
      <t>D</t>
    </r>
    <r>
      <rPr>
        <sz val="10"/>
        <rFont val="Arial"/>
        <family val="2"/>
      </rPr>
      <t>E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=</t>
    </r>
  </si>
  <si>
    <t>Se puede suponer que el empuje activo dinamico adicional actua a 0.6H de la base del estribo</t>
  </si>
  <si>
    <t>por consiguiente el Momento con respecto al punto "x" es:</t>
  </si>
  <si>
    <r>
      <t>M</t>
    </r>
    <r>
      <rPr>
        <vertAlign val="subscript"/>
        <sz val="10"/>
        <rFont val="Arial"/>
        <family val="2"/>
      </rPr>
      <t>AE</t>
    </r>
    <r>
      <rPr>
        <sz val="10"/>
        <rFont val="Arial"/>
        <family val="2"/>
      </rPr>
      <t xml:space="preserve"> =</t>
    </r>
  </si>
  <si>
    <t>Ton-m/m</t>
  </si>
  <si>
    <t>Efecto dinamico y estatico</t>
  </si>
  <si>
    <t>Efecto  estatico</t>
  </si>
  <si>
    <r>
      <t>Emp Horiz.Rell=Ea</t>
    </r>
    <r>
      <rPr>
        <sz val="10"/>
        <rFont val="Arial"/>
        <family val="2"/>
      </rPr>
      <t xml:space="preserve"> :</t>
    </r>
  </si>
  <si>
    <r>
      <t>Emp.Sismo:Esis=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E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>:</t>
    </r>
  </si>
  <si>
    <t>Sismo subestructura   DC  :</t>
  </si>
  <si>
    <t>Sismo subestructura  relleno   :</t>
  </si>
  <si>
    <t>Peso muro:  DC=</t>
  </si>
  <si>
    <t>Peso relleno: EV=</t>
  </si>
  <si>
    <t>Carga LL = :</t>
  </si>
  <si>
    <t>Sismo muro:  DC=</t>
  </si>
  <si>
    <t>Sismo relleno: EV=</t>
  </si>
  <si>
    <t>5.2) Cargas de diseño   Factoradas  con sismo  (Evento Extremo  I ).</t>
  </si>
  <si>
    <t xml:space="preserve"> Fuerzas verticales </t>
  </si>
  <si>
    <t>Momentos por Fuerzas verticales Vu (t-m/m)</t>
  </si>
  <si>
    <t>Sobreca.</t>
  </si>
  <si>
    <t>SISMO</t>
  </si>
  <si>
    <t>Mvu</t>
  </si>
  <si>
    <t>Mi</t>
  </si>
  <si>
    <t xml:space="preserve"> Fuerzas horizontales </t>
  </si>
  <si>
    <t xml:space="preserve"> Momentos por Fuerzas horizontales Hu (t-m/m)</t>
  </si>
  <si>
    <t>RESUMEN FACTOR DE CARGAS</t>
  </si>
  <si>
    <t>FUERZAS ESTABILIZANTES Vu (t/m)</t>
  </si>
  <si>
    <t>Servicio</t>
  </si>
  <si>
    <t>Resistencia</t>
  </si>
  <si>
    <t>Evento Extremo</t>
  </si>
  <si>
    <t>MOMENTOS POR FUERZAS HORIZONTALES Vu (t-m/m)</t>
  </si>
  <si>
    <t>(T-m/m)</t>
  </si>
  <si>
    <t>FUERZAS DESESTABILIZANTES Hu (t/m)</t>
  </si>
  <si>
    <t>Relleno</t>
  </si>
  <si>
    <t>E. Dinamico</t>
  </si>
  <si>
    <t>MOMENTOS POR FUERZAS HORIZONTALES Hu (t-m/m)</t>
  </si>
  <si>
    <t>6)</t>
  </si>
  <si>
    <t>CRITERIOS DE ESTABILIDAD POR EL METODO DEL LRFD (AASHTO)</t>
  </si>
  <si>
    <t>6.1)</t>
  </si>
  <si>
    <t>Vuelco</t>
  </si>
  <si>
    <t>6.2)</t>
  </si>
  <si>
    <t>Deslizamiento</t>
  </si>
  <si>
    <t>Øs:</t>
  </si>
  <si>
    <t>MARGEN DE DISEÑO</t>
  </si>
  <si>
    <t>Fr=VL*f</t>
  </si>
  <si>
    <t>ØsFr+</t>
  </si>
  <si>
    <r>
      <t>H</t>
    </r>
    <r>
      <rPr>
        <sz val="8"/>
        <rFont val="Times New Roman"/>
        <family val="1"/>
      </rPr>
      <t>L</t>
    </r>
  </si>
  <si>
    <t>6.3)</t>
  </si>
  <si>
    <t>Capacidad de carga</t>
  </si>
  <si>
    <t>Factor de resistencia de carga</t>
  </si>
  <si>
    <t>Ø:</t>
  </si>
  <si>
    <t>Capacidad última</t>
  </si>
  <si>
    <r>
      <t>q</t>
    </r>
    <r>
      <rPr>
        <sz val="10"/>
        <rFont val="Times New Roman"/>
        <family val="1"/>
      </rPr>
      <t>max(t/m2)</t>
    </r>
  </si>
  <si>
    <t>trapezoidal</t>
  </si>
  <si>
    <t>Resistencia I-a</t>
  </si>
  <si>
    <t>qult (*) : qult determinado sin considerar factores de inclinación de carga</t>
  </si>
  <si>
    <t>Construccion.</t>
  </si>
  <si>
    <t>Resistencia IV</t>
  </si>
  <si>
    <t>Evento Extrem I-a</t>
  </si>
  <si>
    <t>LSV,LSH</t>
  </si>
  <si>
    <t>RESISTENCIA 2</t>
  </si>
  <si>
    <t>SERVICIO 1</t>
  </si>
  <si>
    <t>SERVICIO 2</t>
  </si>
  <si>
    <t>SERVICIO 3</t>
  </si>
  <si>
    <t>Notación</t>
  </si>
  <si>
    <t>Muro +super</t>
  </si>
  <si>
    <t>rodadur</t>
  </si>
  <si>
    <t>carg viva. Sup</t>
  </si>
  <si>
    <t>peatonal</t>
  </si>
  <si>
    <t>relle</t>
  </si>
  <si>
    <t>viva super</t>
  </si>
  <si>
    <t>alt. Eqi</t>
  </si>
  <si>
    <t>suma</t>
  </si>
  <si>
    <t>VI</t>
  </si>
  <si>
    <t>MI</t>
  </si>
  <si>
    <r>
      <rPr>
        <sz val="8"/>
        <rFont val="Calibri"/>
        <family val="2"/>
      </rPr>
      <t>ΣM</t>
    </r>
    <r>
      <rPr>
        <sz val="8"/>
        <rFont val="Arial"/>
        <family val="2"/>
      </rPr>
      <t>v</t>
    </r>
  </si>
  <si>
    <t>Monobe</t>
  </si>
  <si>
    <t>Fuerz. Sis</t>
  </si>
  <si>
    <t>FREN.</t>
  </si>
  <si>
    <t>LSH</t>
  </si>
  <si>
    <t>EMP. din.</t>
  </si>
  <si>
    <t>Servicio 2</t>
  </si>
  <si>
    <t>Servicio3</t>
  </si>
  <si>
    <t>Resistencia 2</t>
  </si>
  <si>
    <t>Coef fricc.</t>
  </si>
  <si>
    <t>ΣMH</t>
  </si>
  <si>
    <t>qadm</t>
  </si>
  <si>
    <t>qult</t>
  </si>
  <si>
    <r>
      <t>qu</t>
    </r>
    <r>
      <rPr>
        <sz val="8"/>
        <rFont val="Times New Roman"/>
        <family val="1"/>
      </rPr>
      <t xml:space="preserve"> (*)t/m2+</t>
    </r>
  </si>
  <si>
    <r>
      <t xml:space="preserve">qR=Ø </t>
    </r>
    <r>
      <rPr>
        <sz val="13"/>
        <rFont val="Times New Roman"/>
        <family val="1"/>
      </rPr>
      <t>qu</t>
    </r>
  </si>
  <si>
    <t>Talon</t>
  </si>
  <si>
    <t>(H/12, H/6)</t>
  </si>
  <si>
    <t>Angle</t>
  </si>
  <si>
    <t>long puente</t>
  </si>
  <si>
    <t>x2</t>
  </si>
  <si>
    <t>Sobrecarga viva en el terreno</t>
  </si>
  <si>
    <t>Angulo de fricción</t>
  </si>
  <si>
    <t>tag</t>
  </si>
  <si>
    <t>fric</t>
  </si>
  <si>
    <t>H</t>
  </si>
  <si>
    <t>B</t>
  </si>
  <si>
    <t>HZ</t>
  </si>
  <si>
    <t>al viga</t>
  </si>
  <si>
    <t>elas</t>
  </si>
  <si>
    <t>h par</t>
  </si>
  <si>
    <t>e.pa</t>
  </si>
  <si>
    <t>h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</si>
</sst>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 * #,##0.00_ ;_ * \-#,##0.00_ ;_ * &quot;-&quot;??_ ;_ @_ "/>
    <numFmt numFmtId="164" formatCode="_-* #,##0.00\ _€_-;\-* #,##0.00\ _€_-;_-* &quot;-&quot;??\ _€_-;_-@_-"/>
    <numFmt numFmtId="165" formatCode="_(* #,##0.00_);_(* \(#,##0.00\);_(* &quot;-&quot;??_);_(@_)"/>
    <numFmt numFmtId="166" formatCode="_-* #,##0.00\ _P_t_s_-;\-* #,##0.00\ _P_t_s_-;_-* &quot;-&quot;??\ _P_t_s_-;_-@_-"/>
    <numFmt numFmtId="167" formatCode="0.000"/>
    <numFmt numFmtId="168" formatCode="0.0"/>
    <numFmt numFmtId="169" formatCode="0.0000"/>
    <numFmt numFmtId="170" formatCode="_-* #,##0.00\ [$€]_-;\-* #,##0.00\ [$€]_-;_-* &quot;-&quot;??\ [$€]_-;_-@_-"/>
    <numFmt numFmtId="171" formatCode="#\ ?/2"/>
    <numFmt numFmtId="172" formatCode="_ * #,##0_ ;_ * \-#,##0_ ;_ * &quot;-&quot;??_ ;_ @_ "/>
    <numFmt numFmtId="173" formatCode="_ * #,##0.0_ ;_ * \-#,##0.0_ ;_ * &quot;-&quot;??_ ;_ @_ "/>
    <numFmt numFmtId="174" formatCode="_ * #,##0.000_ ;_ * \-#,##0.000_ ;_ * &quot;-&quot;??_ ;_ @_ "/>
    <numFmt numFmtId="175" formatCode="0.00\ &quot;m&quot;"/>
    <numFmt numFmtId="176" formatCode="0\ &quot;mm&quot;"/>
    <numFmt numFmtId="177" formatCode="#,##0.0_ ;\-#,##0.0\ "/>
    <numFmt numFmtId="178" formatCode="0.000\ &quot;m&quot;"/>
    <numFmt numFmtId="179" formatCode="###0.00&quot;m2&quot;"/>
    <numFmt numFmtId="180" formatCode="###0.00&quot;m&quot;"/>
    <numFmt numFmtId="181" formatCode="###0.00&quot; Ton-m&quot;"/>
    <numFmt numFmtId="182" formatCode="###0.00&quot; Ton&quot;"/>
  </numFmts>
  <fonts count="6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name val="Arial Narrow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vertAlign val="superscript"/>
      <sz val="8"/>
      <name val="Arial"/>
      <family val="2"/>
    </font>
    <font>
      <vertAlign val="subscript"/>
      <sz val="8"/>
      <name val="Times New Roman"/>
      <family val="1"/>
    </font>
    <font>
      <vertAlign val="superscript"/>
      <sz val="8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 Narrow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8"/>
      <color theme="8" tint="-0.499984740745262"/>
      <name val="Arial"/>
      <family val="2"/>
    </font>
    <font>
      <sz val="2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7"/>
      <color indexed="10"/>
      <name val="Arial"/>
      <family val="2"/>
    </font>
    <font>
      <sz val="10"/>
      <color indexed="12"/>
      <name val="Arial"/>
      <family val="2"/>
    </font>
    <font>
      <b/>
      <sz val="12"/>
      <color theme="8" tint="-0.499984740745262"/>
      <name val="Arial"/>
      <family val="2"/>
    </font>
    <font>
      <b/>
      <sz val="11"/>
      <name val="Arial"/>
      <family val="2"/>
    </font>
    <font>
      <sz val="10"/>
      <name val="Symbol"/>
      <family val="1"/>
      <charset val="2"/>
    </font>
    <font>
      <b/>
      <sz val="10"/>
      <color indexed="10"/>
      <name val="Arial"/>
      <family val="2"/>
    </font>
    <font>
      <b/>
      <sz val="12"/>
      <name val="Symbol"/>
      <family val="1"/>
      <charset val="2"/>
    </font>
    <font>
      <sz val="10"/>
      <color indexed="21"/>
      <name val="Arial"/>
      <family val="2"/>
    </font>
    <font>
      <b/>
      <sz val="10"/>
      <color rgb="FF00B050"/>
      <name val="Arial"/>
      <family val="2"/>
    </font>
    <font>
      <b/>
      <sz val="12"/>
      <name val="Times New Roman"/>
      <family val="1"/>
    </font>
    <font>
      <sz val="12"/>
      <name val="Symbol"/>
      <family val="1"/>
      <charset val="2"/>
    </font>
    <font>
      <sz val="12"/>
      <name val="Times New Roman"/>
      <family val="1"/>
    </font>
    <font>
      <b/>
      <vertAlign val="subscript"/>
      <sz val="1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8" tint="-0.499984740745262"/>
      <name val="Arial"/>
      <family val="2"/>
    </font>
    <font>
      <b/>
      <vertAlign val="subscript"/>
      <sz val="12"/>
      <name val="Times New Roman"/>
      <family val="1"/>
    </font>
    <font>
      <vertAlign val="subscript"/>
      <sz val="12"/>
      <name val="Times New Roman"/>
      <family val="1"/>
    </font>
    <font>
      <b/>
      <sz val="10"/>
      <name val="Symbol"/>
      <family val="1"/>
      <charset val="2"/>
    </font>
    <font>
      <sz val="10"/>
      <color indexed="9"/>
      <name val="Arial"/>
      <family val="2"/>
    </font>
    <font>
      <sz val="10"/>
      <color theme="9" tint="-0.249977111117893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92D050"/>
      <name val="Arial"/>
      <family val="2"/>
    </font>
    <font>
      <sz val="13"/>
      <name val="Times New Roman"/>
      <family val="1"/>
    </font>
    <font>
      <sz val="10"/>
      <color theme="0" tint="-0.34998626667073579"/>
      <name val="Arial"/>
      <family val="2"/>
    </font>
    <font>
      <sz val="10"/>
      <color theme="0" tint="-0.34998626667073579"/>
      <name val="Times New Roman"/>
      <family val="1"/>
    </font>
    <font>
      <sz val="8"/>
      <color theme="3" tint="0.59999389629810485"/>
      <name val="Arial"/>
      <family val="2"/>
    </font>
    <font>
      <sz val="8"/>
      <color theme="3" tint="0.3999755851924192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170" fontId="7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0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2" fontId="6" fillId="0" borderId="0" xfId="0" applyNumberFormat="1" applyFont="1" applyBorder="1"/>
    <xf numFmtId="2" fontId="4" fillId="0" borderId="0" xfId="0" applyNumberFormat="1" applyFont="1" applyBorder="1"/>
    <xf numFmtId="0" fontId="5" fillId="0" borderId="0" xfId="0" applyFont="1"/>
    <xf numFmtId="0" fontId="0" fillId="0" borderId="2" xfId="0" applyBorder="1"/>
    <xf numFmtId="0" fontId="4" fillId="0" borderId="0" xfId="0" applyFont="1" applyBorder="1"/>
    <xf numFmtId="2" fontId="4" fillId="0" borderId="0" xfId="0" applyNumberFormat="1" applyFont="1" applyAlignment="1"/>
    <xf numFmtId="0" fontId="5" fillId="0" borderId="0" xfId="0" applyFont="1" applyAlignment="1">
      <alignment horizontal="center"/>
    </xf>
    <xf numFmtId="2" fontId="4" fillId="0" borderId="0" xfId="0" applyNumberFormat="1" applyFont="1" applyBorder="1" applyAlignment="1"/>
    <xf numFmtId="0" fontId="16" fillId="0" borderId="0" xfId="0" applyFont="1" applyBorder="1"/>
    <xf numFmtId="43" fontId="4" fillId="0" borderId="0" xfId="0" applyNumberFormat="1" applyFont="1" applyBorder="1"/>
    <xf numFmtId="2" fontId="4" fillId="0" borderId="0" xfId="2" applyNumberFormat="1" applyFont="1" applyBorder="1"/>
    <xf numFmtId="0" fontId="17" fillId="0" borderId="0" xfId="0" applyFont="1" applyBorder="1"/>
    <xf numFmtId="0" fontId="3" fillId="0" borderId="0" xfId="0" applyFont="1"/>
    <xf numFmtId="0" fontId="2" fillId="0" borderId="0" xfId="0" applyFont="1" applyBorder="1" applyAlignment="1"/>
    <xf numFmtId="2" fontId="2" fillId="0" borderId="0" xfId="0" applyNumberFormat="1" applyFont="1" applyAlignment="1"/>
    <xf numFmtId="0" fontId="2" fillId="0" borderId="0" xfId="0" applyFont="1" applyBorder="1" applyAlignment="1">
      <alignment horizontal="left"/>
    </xf>
    <xf numFmtId="0" fontId="2" fillId="0" borderId="3" xfId="0" applyFont="1" applyBorder="1"/>
    <xf numFmtId="0" fontId="2" fillId="0" borderId="5" xfId="0" applyFont="1" applyBorder="1"/>
    <xf numFmtId="2" fontId="2" fillId="0" borderId="0" xfId="0" applyNumberFormat="1" applyFont="1" applyBorder="1" applyAlignment="1"/>
    <xf numFmtId="2" fontId="0" fillId="0" borderId="0" xfId="0" applyNumberFormat="1" applyAlignment="1"/>
    <xf numFmtId="43" fontId="2" fillId="0" borderId="0" xfId="0" applyNumberFormat="1" applyFont="1"/>
    <xf numFmtId="2" fontId="2" fillId="0" borderId="3" xfId="2" applyNumberFormat="1" applyFont="1" applyBorder="1"/>
    <xf numFmtId="166" fontId="2" fillId="0" borderId="0" xfId="2" applyFont="1" applyBorder="1"/>
    <xf numFmtId="167" fontId="2" fillId="0" borderId="0" xfId="0" applyNumberFormat="1" applyFont="1" applyBorder="1" applyAlignment="1"/>
    <xf numFmtId="166" fontId="2" fillId="0" borderId="3" xfId="2" applyFont="1" applyBorder="1"/>
    <xf numFmtId="43" fontId="2" fillId="0" borderId="3" xfId="0" applyNumberFormat="1" applyFont="1" applyBorder="1"/>
    <xf numFmtId="172" fontId="2" fillId="0" borderId="0" xfId="0" applyNumberFormat="1" applyFont="1" applyAlignment="1"/>
    <xf numFmtId="43" fontId="4" fillId="0" borderId="0" xfId="0" applyNumberFormat="1" applyFont="1"/>
    <xf numFmtId="172" fontId="4" fillId="0" borderId="0" xfId="0" applyNumberFormat="1" applyFont="1"/>
    <xf numFmtId="172" fontId="4" fillId="0" borderId="7" xfId="0" applyNumberFormat="1" applyFont="1" applyBorder="1"/>
    <xf numFmtId="43" fontId="4" fillId="0" borderId="0" xfId="0" applyNumberFormat="1" applyFont="1" applyAlignment="1"/>
    <xf numFmtId="43" fontId="4" fillId="0" borderId="0" xfId="0" applyNumberFormat="1" applyFont="1" applyBorder="1" applyAlignment="1"/>
    <xf numFmtId="43" fontId="4" fillId="0" borderId="5" xfId="0" applyNumberFormat="1" applyFont="1" applyBorder="1"/>
    <xf numFmtId="172" fontId="4" fillId="0" borderId="0" xfId="0" applyNumberFormat="1" applyFont="1" applyBorder="1" applyAlignment="1"/>
    <xf numFmtId="172" fontId="4" fillId="0" borderId="0" xfId="0" applyNumberFormat="1" applyFont="1" applyBorder="1"/>
    <xf numFmtId="43" fontId="4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19" fillId="0" borderId="0" xfId="0" applyFont="1"/>
    <xf numFmtId="0" fontId="4" fillId="0" borderId="0" xfId="0" applyFont="1" applyAlignment="1">
      <alignment horizontal="left"/>
    </xf>
    <xf numFmtId="168" fontId="4" fillId="0" borderId="0" xfId="0" applyNumberFormat="1" applyFont="1"/>
    <xf numFmtId="0" fontId="20" fillId="0" borderId="0" xfId="0" applyFont="1" applyBorder="1"/>
    <xf numFmtId="0" fontId="4" fillId="0" borderId="0" xfId="0" applyFont="1" applyBorder="1" applyAlignment="1"/>
    <xf numFmtId="0" fontId="4" fillId="0" borderId="0" xfId="0" applyFont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2" fontId="4" fillId="0" borderId="0" xfId="0" applyNumberFormat="1" applyFont="1" applyAlignment="1">
      <alignment horizontal="center"/>
    </xf>
    <xf numFmtId="0" fontId="4" fillId="0" borderId="0" xfId="0" applyFont="1" applyFill="1" applyBorder="1"/>
    <xf numFmtId="0" fontId="11" fillId="0" borderId="0" xfId="0" applyFont="1"/>
    <xf numFmtId="0" fontId="4" fillId="0" borderId="0" xfId="0" applyFont="1" applyAlignment="1"/>
    <xf numFmtId="2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Border="1" applyAlignment="1"/>
    <xf numFmtId="0" fontId="19" fillId="0" borderId="0" xfId="0" applyFont="1" applyBorder="1" applyAlignment="1"/>
    <xf numFmtId="0" fontId="12" fillId="0" borderId="0" xfId="0" applyFont="1"/>
    <xf numFmtId="0" fontId="4" fillId="0" borderId="9" xfId="0" applyFont="1" applyBorder="1"/>
    <xf numFmtId="2" fontId="4" fillId="0" borderId="0" xfId="0" applyNumberFormat="1" applyFont="1" applyFill="1" applyBorder="1" applyAlignment="1"/>
    <xf numFmtId="1" fontId="11" fillId="0" borderId="0" xfId="0" applyNumberFormat="1" applyFont="1" applyAlignment="1">
      <alignment horizontal="left"/>
    </xf>
    <xf numFmtId="167" fontId="4" fillId="0" borderId="0" xfId="0" applyNumberFormat="1" applyFont="1" applyAlignment="1"/>
    <xf numFmtId="175" fontId="4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 applyBorder="1"/>
    <xf numFmtId="165" fontId="4" fillId="0" borderId="0" xfId="0" applyNumberFormat="1" applyFont="1" applyBorder="1" applyAlignment="1">
      <alignment horizontal="center"/>
    </xf>
    <xf numFmtId="2" fontId="4" fillId="0" borderId="0" xfId="2" applyNumberFormat="1" applyFont="1"/>
    <xf numFmtId="166" fontId="4" fillId="0" borderId="0" xfId="2" applyFont="1"/>
    <xf numFmtId="2" fontId="4" fillId="0" borderId="3" xfId="2" applyNumberFormat="1" applyFont="1" applyBorder="1"/>
    <xf numFmtId="166" fontId="4" fillId="0" borderId="0" xfId="2" applyFont="1" applyBorder="1"/>
    <xf numFmtId="165" fontId="4" fillId="0" borderId="0" xfId="0" applyNumberFormat="1" applyFont="1" applyBorder="1" applyAlignment="1"/>
    <xf numFmtId="43" fontId="4" fillId="0" borderId="3" xfId="0" applyNumberFormat="1" applyFont="1" applyBorder="1"/>
    <xf numFmtId="43" fontId="4" fillId="0" borderId="8" xfId="0" applyNumberFormat="1" applyFont="1" applyBorder="1"/>
    <xf numFmtId="166" fontId="4" fillId="0" borderId="3" xfId="2" applyFont="1" applyBorder="1"/>
    <xf numFmtId="43" fontId="5" fillId="0" borderId="0" xfId="0" applyNumberFormat="1" applyFont="1"/>
    <xf numFmtId="2" fontId="5" fillId="0" borderId="0" xfId="2" applyNumberFormat="1" applyFont="1"/>
    <xf numFmtId="166" fontId="5" fillId="0" borderId="0" xfId="2" applyFont="1"/>
    <xf numFmtId="2" fontId="4" fillId="0" borderId="0" xfId="0" applyNumberFormat="1" applyFont="1" applyFill="1" applyAlignment="1"/>
    <xf numFmtId="43" fontId="4" fillId="0" borderId="5" xfId="0" applyNumberFormat="1" applyFont="1" applyBorder="1" applyAlignment="1"/>
    <xf numFmtId="0" fontId="11" fillId="0" borderId="0" xfId="0" applyFont="1" applyBorder="1" applyAlignment="1">
      <alignment horizontal="left"/>
    </xf>
    <xf numFmtId="2" fontId="20" fillId="0" borderId="0" xfId="0" applyNumberFormat="1" applyFont="1" applyBorder="1"/>
    <xf numFmtId="0" fontId="18" fillId="0" borderId="0" xfId="0" applyFont="1" applyBorder="1"/>
    <xf numFmtId="0" fontId="20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19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2" fontId="19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3" fontId="2" fillId="0" borderId="0" xfId="0" applyNumberFormat="1" applyFont="1" applyBorder="1"/>
    <xf numFmtId="1" fontId="4" fillId="0" borderId="0" xfId="2" applyNumberFormat="1" applyFont="1" applyBorder="1"/>
    <xf numFmtId="0" fontId="2" fillId="0" borderId="0" xfId="0" applyFont="1" applyBorder="1" applyAlignment="1">
      <alignment horizontal="right"/>
    </xf>
    <xf numFmtId="0" fontId="4" fillId="0" borderId="14" xfId="0" applyFont="1" applyBorder="1"/>
    <xf numFmtId="0" fontId="0" fillId="0" borderId="7" xfId="0" applyBorder="1"/>
    <xf numFmtId="0" fontId="4" fillId="0" borderId="7" xfId="0" applyFont="1" applyBorder="1"/>
    <xf numFmtId="166" fontId="4" fillId="0" borderId="8" xfId="2" applyFont="1" applyBorder="1"/>
    <xf numFmtId="43" fontId="4" fillId="0" borderId="6" xfId="0" applyNumberFormat="1" applyFont="1" applyBorder="1" applyAlignment="1"/>
    <xf numFmtId="0" fontId="0" fillId="0" borderId="5" xfId="0" applyBorder="1"/>
    <xf numFmtId="0" fontId="0" fillId="0" borderId="3" xfId="0" applyBorder="1"/>
    <xf numFmtId="0" fontId="4" fillId="0" borderId="15" xfId="0" applyFont="1" applyBorder="1"/>
    <xf numFmtId="0" fontId="2" fillId="0" borderId="16" xfId="0" applyFont="1" applyBorder="1"/>
    <xf numFmtId="166" fontId="2" fillId="0" borderId="17" xfId="2" applyFont="1" applyBorder="1"/>
    <xf numFmtId="166" fontId="4" fillId="0" borderId="5" xfId="2" applyFont="1" applyBorder="1"/>
    <xf numFmtId="2" fontId="2" fillId="0" borderId="14" xfId="2" applyNumberFormat="1" applyFont="1" applyBorder="1"/>
    <xf numFmtId="2" fontId="4" fillId="0" borderId="7" xfId="2" applyNumberFormat="1" applyFont="1" applyBorder="1"/>
    <xf numFmtId="172" fontId="4" fillId="0" borderId="1" xfId="0" applyNumberFormat="1" applyFont="1" applyBorder="1" applyAlignment="1">
      <alignment horizontal="left" vertical="top"/>
    </xf>
    <xf numFmtId="0" fontId="2" fillId="0" borderId="10" xfId="0" applyFont="1" applyBorder="1"/>
    <xf numFmtId="0" fontId="2" fillId="0" borderId="1" xfId="0" applyFont="1" applyBorder="1"/>
    <xf numFmtId="0" fontId="2" fillId="0" borderId="8" xfId="0" applyFont="1" applyBorder="1"/>
    <xf numFmtId="0" fontId="0" fillId="0" borderId="9" xfId="0" applyBorder="1"/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0" fillId="0" borderId="20" xfId="0" applyBorder="1"/>
    <xf numFmtId="0" fontId="2" fillId="0" borderId="21" xfId="0" applyFont="1" applyBorder="1"/>
    <xf numFmtId="0" fontId="3" fillId="0" borderId="3" xfId="0" applyFont="1" applyBorder="1"/>
    <xf numFmtId="43" fontId="2" fillId="0" borderId="20" xfId="0" applyNumberFormat="1" applyFont="1" applyBorder="1"/>
    <xf numFmtId="0" fontId="2" fillId="0" borderId="20" xfId="0" applyFont="1" applyBorder="1" applyAlignment="1"/>
    <xf numFmtId="166" fontId="2" fillId="0" borderId="21" xfId="2" applyFont="1" applyBorder="1"/>
    <xf numFmtId="0" fontId="0" fillId="0" borderId="21" xfId="0" applyBorder="1"/>
    <xf numFmtId="0" fontId="2" fillId="0" borderId="21" xfId="2" applyNumberFormat="1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43" fontId="2" fillId="0" borderId="20" xfId="0" applyNumberFormat="1" applyFont="1" applyBorder="1" applyAlignment="1">
      <alignment horizontal="center"/>
    </xf>
    <xf numFmtId="0" fontId="2" fillId="0" borderId="22" xfId="0" applyFont="1" applyBorder="1"/>
    <xf numFmtId="43" fontId="4" fillId="0" borderId="20" xfId="0" applyNumberFormat="1" applyFont="1" applyBorder="1"/>
    <xf numFmtId="172" fontId="4" fillId="0" borderId="20" xfId="0" applyNumberFormat="1" applyFont="1" applyBorder="1" applyAlignment="1">
      <alignment horizontal="right"/>
    </xf>
    <xf numFmtId="2" fontId="4" fillId="0" borderId="17" xfId="2" applyNumberFormat="1" applyFont="1" applyBorder="1"/>
    <xf numFmtId="0" fontId="4" fillId="0" borderId="17" xfId="2" applyNumberFormat="1" applyFont="1" applyBorder="1" applyAlignment="1">
      <alignment horizontal="center"/>
    </xf>
    <xf numFmtId="172" fontId="4" fillId="0" borderId="20" xfId="0" applyNumberFormat="1" applyFont="1" applyBorder="1" applyAlignment="1">
      <alignment vertical="top"/>
    </xf>
    <xf numFmtId="1" fontId="4" fillId="0" borderId="20" xfId="2" applyNumberFormat="1" applyFont="1" applyBorder="1" applyAlignment="1">
      <alignment horizontal="center"/>
    </xf>
    <xf numFmtId="165" fontId="2" fillId="0" borderId="18" xfId="0" applyNumberFormat="1" applyFont="1" applyBorder="1" applyAlignment="1"/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/>
    <xf numFmtId="0" fontId="2" fillId="0" borderId="18" xfId="0" applyFont="1" applyBorder="1" applyAlignment="1"/>
    <xf numFmtId="2" fontId="2" fillId="0" borderId="23" xfId="0" applyNumberFormat="1" applyFont="1" applyBorder="1" applyAlignment="1"/>
    <xf numFmtId="2" fontId="4" fillId="0" borderId="24" xfId="2" applyNumberFormat="1" applyFont="1" applyBorder="1"/>
    <xf numFmtId="166" fontId="2" fillId="0" borderId="24" xfId="2" applyFont="1" applyBorder="1"/>
    <xf numFmtId="165" fontId="2" fillId="0" borderId="25" xfId="0" applyNumberFormat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/>
    <xf numFmtId="0" fontId="22" fillId="0" borderId="0" xfId="0" applyFont="1"/>
    <xf numFmtId="0" fontId="4" fillId="4" borderId="0" xfId="0" applyFont="1" applyFill="1"/>
    <xf numFmtId="0" fontId="4" fillId="6" borderId="0" xfId="0" applyFont="1" applyFill="1"/>
    <xf numFmtId="43" fontId="4" fillId="4" borderId="0" xfId="0" applyNumberFormat="1" applyFont="1" applyFill="1" applyAlignment="1"/>
    <xf numFmtId="0" fontId="10" fillId="4" borderId="0" xfId="0" applyFont="1" applyFill="1"/>
    <xf numFmtId="0" fontId="23" fillId="12" borderId="26" xfId="0" applyFont="1" applyFill="1" applyBorder="1" applyAlignment="1">
      <alignment horizontal="center"/>
    </xf>
    <xf numFmtId="0" fontId="24" fillId="12" borderId="26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center" vertical="center" wrapText="1"/>
    </xf>
    <xf numFmtId="0" fontId="25" fillId="12" borderId="26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169" fontId="24" fillId="5" borderId="26" xfId="0" applyNumberFormat="1" applyFont="1" applyFill="1" applyBorder="1"/>
    <xf numFmtId="2" fontId="24" fillId="5" borderId="26" xfId="0" applyNumberFormat="1" applyFont="1" applyFill="1" applyBorder="1" applyAlignment="1">
      <alignment horizontal="center"/>
    </xf>
    <xf numFmtId="167" fontId="24" fillId="5" borderId="26" xfId="0" applyNumberFormat="1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right"/>
    </xf>
    <xf numFmtId="0" fontId="29" fillId="0" borderId="0" xfId="0" applyFont="1"/>
    <xf numFmtId="0" fontId="1" fillId="0" borderId="0" xfId="0" applyFont="1" applyFill="1"/>
    <xf numFmtId="0" fontId="0" fillId="0" borderId="0" xfId="0" applyFont="1" applyFill="1"/>
    <xf numFmtId="0" fontId="30" fillId="0" borderId="0" xfId="0" applyFont="1" applyFill="1"/>
    <xf numFmtId="2" fontId="30" fillId="0" borderId="0" xfId="0" applyNumberFormat="1" applyFont="1" applyFill="1"/>
    <xf numFmtId="0" fontId="30" fillId="0" borderId="0" xfId="0" applyFont="1"/>
    <xf numFmtId="0" fontId="0" fillId="0" borderId="0" xfId="0" applyFill="1"/>
    <xf numFmtId="2" fontId="30" fillId="0" borderId="0" xfId="0" applyNumberFormat="1" applyFont="1"/>
    <xf numFmtId="0" fontId="1" fillId="0" borderId="0" xfId="0" applyFont="1"/>
    <xf numFmtId="0" fontId="31" fillId="0" borderId="0" xfId="0" applyFont="1" applyFill="1"/>
    <xf numFmtId="0" fontId="32" fillId="0" borderId="0" xfId="0" applyFont="1"/>
    <xf numFmtId="0" fontId="0" fillId="13" borderId="28" xfId="0" applyFill="1" applyBorder="1" applyAlignment="1">
      <alignment horizontal="center"/>
    </xf>
    <xf numFmtId="0" fontId="0" fillId="13" borderId="29" xfId="0" applyFill="1" applyBorder="1" applyAlignment="1">
      <alignment horizontal="center"/>
    </xf>
    <xf numFmtId="0" fontId="0" fillId="13" borderId="34" xfId="0" applyFill="1" applyBorder="1"/>
    <xf numFmtId="169" fontId="1" fillId="13" borderId="35" xfId="0" applyNumberFormat="1" applyFont="1" applyFill="1" applyBorder="1" applyAlignment="1">
      <alignment horizontal="center"/>
    </xf>
    <xf numFmtId="2" fontId="0" fillId="13" borderId="36" xfId="0" applyNumberFormat="1" applyFill="1" applyBorder="1" applyAlignment="1">
      <alignment horizontal="center"/>
    </xf>
    <xf numFmtId="169" fontId="33" fillId="13" borderId="37" xfId="0" applyNumberFormat="1" applyFont="1" applyFill="1" applyBorder="1"/>
    <xf numFmtId="169" fontId="1" fillId="13" borderId="38" xfId="0" applyNumberFormat="1" applyFont="1" applyFill="1" applyBorder="1" applyAlignment="1">
      <alignment horizontal="center"/>
    </xf>
    <xf numFmtId="2" fontId="0" fillId="13" borderId="39" xfId="0" applyNumberFormat="1" applyFill="1" applyBorder="1" applyAlignment="1">
      <alignment horizontal="center"/>
    </xf>
    <xf numFmtId="0" fontId="34" fillId="0" borderId="0" xfId="0" applyFont="1"/>
    <xf numFmtId="0" fontId="3" fillId="0" borderId="0" xfId="0" applyFont="1" applyFill="1" applyBorder="1"/>
    <xf numFmtId="0" fontId="35" fillId="0" borderId="0" xfId="0" applyFont="1" applyAlignment="1">
      <alignment horizontal="right"/>
    </xf>
    <xf numFmtId="0" fontId="35" fillId="0" borderId="0" xfId="0" applyFont="1"/>
    <xf numFmtId="0" fontId="35" fillId="0" borderId="45" xfId="0" applyFont="1" applyFill="1" applyBorder="1" applyAlignment="1">
      <alignment horizontal="right" vertical="center" wrapText="1"/>
    </xf>
    <xf numFmtId="0" fontId="35" fillId="0" borderId="46" xfId="0" applyFont="1" applyFill="1" applyBorder="1"/>
    <xf numFmtId="0" fontId="35" fillId="0" borderId="46" xfId="0" applyFont="1" applyFill="1" applyBorder="1" applyAlignment="1">
      <alignment horizontal="left" vertical="center" wrapText="1"/>
    </xf>
    <xf numFmtId="0" fontId="35" fillId="0" borderId="46" xfId="0" applyFont="1" applyFill="1" applyBorder="1" applyAlignment="1">
      <alignment horizontal="right" vertical="center" wrapText="1"/>
    </xf>
    <xf numFmtId="0" fontId="35" fillId="0" borderId="47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right"/>
    </xf>
    <xf numFmtId="0" fontId="36" fillId="0" borderId="0" xfId="0" applyFont="1"/>
    <xf numFmtId="0" fontId="37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0" fontId="38" fillId="0" borderId="0" xfId="0" applyFont="1" applyAlignment="1">
      <alignment horizontal="right"/>
    </xf>
    <xf numFmtId="0" fontId="38" fillId="0" borderId="0" xfId="0" applyFont="1"/>
    <xf numFmtId="0" fontId="39" fillId="0" borderId="0" xfId="0" applyFont="1"/>
    <xf numFmtId="2" fontId="21" fillId="0" borderId="0" xfId="0" applyNumberFormat="1" applyFont="1" applyFill="1"/>
    <xf numFmtId="0" fontId="3" fillId="0" borderId="0" xfId="0" applyFont="1" applyFill="1"/>
    <xf numFmtId="167" fontId="1" fillId="0" borderId="0" xfId="0" applyNumberFormat="1" applyFont="1" applyFill="1"/>
    <xf numFmtId="179" fontId="21" fillId="0" borderId="0" xfId="0" applyNumberFormat="1" applyFont="1" applyFill="1"/>
    <xf numFmtId="0" fontId="41" fillId="0" borderId="0" xfId="0" applyFont="1"/>
    <xf numFmtId="179" fontId="3" fillId="0" borderId="0" xfId="0" applyNumberFormat="1" applyFont="1" applyFill="1"/>
    <xf numFmtId="0" fontId="29" fillId="2" borderId="48" xfId="0" applyFont="1" applyFill="1" applyBorder="1"/>
    <xf numFmtId="0" fontId="29" fillId="2" borderId="49" xfId="0" applyFont="1" applyFill="1" applyBorder="1"/>
    <xf numFmtId="0" fontId="3" fillId="2" borderId="49" xfId="0" applyFont="1" applyFill="1" applyBorder="1"/>
    <xf numFmtId="0" fontId="0" fillId="2" borderId="50" xfId="0" applyFill="1" applyBorder="1"/>
    <xf numFmtId="0" fontId="29" fillId="2" borderId="48" xfId="0" applyFont="1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3" fillId="14" borderId="48" xfId="0" applyFont="1" applyFill="1" applyBorder="1"/>
    <xf numFmtId="0" fontId="0" fillId="14" borderId="49" xfId="0" applyFill="1" applyBorder="1"/>
    <xf numFmtId="0" fontId="0" fillId="0" borderId="50" xfId="0" applyBorder="1"/>
    <xf numFmtId="0" fontId="3" fillId="2" borderId="51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29" fillId="2" borderId="53" xfId="0" applyFont="1" applyFill="1" applyBorder="1"/>
    <xf numFmtId="0" fontId="29" fillId="2" borderId="54" xfId="0" applyFont="1" applyFill="1" applyBorder="1"/>
    <xf numFmtId="0" fontId="0" fillId="2" borderId="55" xfId="0" applyFill="1" applyBorder="1"/>
    <xf numFmtId="0" fontId="3" fillId="2" borderId="56" xfId="0" applyFont="1" applyFill="1" applyBorder="1" applyAlignment="1">
      <alignment horizontal="center"/>
    </xf>
    <xf numFmtId="0" fontId="29" fillId="14" borderId="53" xfId="0" applyFont="1" applyFill="1" applyBorder="1" applyAlignment="1">
      <alignment horizontal="center"/>
    </xf>
    <xf numFmtId="0" fontId="29" fillId="14" borderId="54" xfId="0" applyFont="1" applyFill="1" applyBorder="1" applyAlignment="1">
      <alignment horizontal="center"/>
    </xf>
    <xf numFmtId="0" fontId="42" fillId="14" borderId="54" xfId="0" applyFont="1" applyFill="1" applyBorder="1" applyAlignment="1">
      <alignment horizontal="center"/>
    </xf>
    <xf numFmtId="0" fontId="0" fillId="0" borderId="55" xfId="0" applyBorder="1"/>
    <xf numFmtId="2" fontId="0" fillId="14" borderId="57" xfId="0" applyNumberFormat="1" applyFill="1" applyBorder="1" applyAlignment="1">
      <alignment horizontal="center"/>
    </xf>
    <xf numFmtId="0" fontId="3" fillId="15" borderId="58" xfId="0" applyFont="1" applyFill="1" applyBorder="1"/>
    <xf numFmtId="179" fontId="3" fillId="15" borderId="0" xfId="0" applyNumberFormat="1" applyFont="1" applyFill="1" applyBorder="1"/>
    <xf numFmtId="0" fontId="3" fillId="15" borderId="0" xfId="0" applyFont="1" applyFill="1" applyBorder="1"/>
    <xf numFmtId="2" fontId="1" fillId="16" borderId="57" xfId="0" applyNumberFormat="1" applyFont="1" applyFill="1" applyBorder="1" applyAlignment="1">
      <alignment horizontal="center"/>
    </xf>
    <xf numFmtId="2" fontId="0" fillId="0" borderId="58" xfId="0" applyNumberFormat="1" applyBorder="1"/>
    <xf numFmtId="2" fontId="0" fillId="0" borderId="0" xfId="0" applyNumberFormat="1" applyBorder="1"/>
    <xf numFmtId="0" fontId="1" fillId="0" borderId="0" xfId="0" applyFont="1" applyBorder="1" applyProtection="1">
      <protection hidden="1"/>
    </xf>
    <xf numFmtId="0" fontId="43" fillId="0" borderId="0" xfId="0" applyFont="1" applyBorder="1"/>
    <xf numFmtId="0" fontId="0" fillId="0" borderId="59" xfId="0" applyBorder="1"/>
    <xf numFmtId="2" fontId="31" fillId="14" borderId="60" xfId="0" applyNumberFormat="1" applyFont="1" applyFill="1" applyBorder="1" applyAlignment="1">
      <alignment horizontal="center"/>
    </xf>
    <xf numFmtId="2" fontId="0" fillId="14" borderId="60" xfId="0" applyNumberFormat="1" applyFill="1" applyBorder="1" applyAlignment="1">
      <alignment horizontal="center"/>
    </xf>
    <xf numFmtId="0" fontId="1" fillId="15" borderId="58" xfId="0" applyFont="1" applyFill="1" applyBorder="1"/>
    <xf numFmtId="180" fontId="0" fillId="15" borderId="0" xfId="0" applyNumberFormat="1" applyFill="1" applyBorder="1"/>
    <xf numFmtId="0" fontId="0" fillId="15" borderId="0" xfId="0" applyFill="1" applyBorder="1"/>
    <xf numFmtId="2" fontId="1" fillId="16" borderId="60" xfId="0" applyNumberFormat="1" applyFont="1" applyFill="1" applyBorder="1" applyAlignment="1">
      <alignment horizontal="center"/>
    </xf>
    <xf numFmtId="2" fontId="0" fillId="14" borderId="58" xfId="0" applyNumberFormat="1" applyFill="1" applyBorder="1" applyAlignment="1">
      <alignment horizontal="center"/>
    </xf>
    <xf numFmtId="0" fontId="1" fillId="15" borderId="9" xfId="0" applyFont="1" applyFill="1" applyBorder="1"/>
    <xf numFmtId="2" fontId="44" fillId="15" borderId="5" xfId="0" applyNumberFormat="1" applyFont="1" applyFill="1" applyBorder="1"/>
    <xf numFmtId="0" fontId="0" fillId="15" borderId="5" xfId="0" applyFill="1" applyBorder="1"/>
    <xf numFmtId="2" fontId="0" fillId="0" borderId="0" xfId="0" applyNumberFormat="1"/>
    <xf numFmtId="2" fontId="31" fillId="14" borderId="58" xfId="0" applyNumberFormat="1" applyFont="1" applyFill="1" applyBorder="1" applyAlignment="1">
      <alignment horizontal="center"/>
    </xf>
    <xf numFmtId="0" fontId="1" fillId="15" borderId="6" xfId="0" applyFont="1" applyFill="1" applyBorder="1"/>
    <xf numFmtId="2" fontId="0" fillId="15" borderId="3" xfId="0" applyNumberFormat="1" applyFill="1" applyBorder="1"/>
    <xf numFmtId="0" fontId="0" fillId="15" borderId="3" xfId="0" applyFill="1" applyBorder="1"/>
    <xf numFmtId="0" fontId="3" fillId="17" borderId="48" xfId="0" applyFont="1" applyFill="1" applyBorder="1"/>
    <xf numFmtId="179" fontId="3" fillId="17" borderId="49" xfId="0" applyNumberFormat="1" applyFont="1" applyFill="1" applyBorder="1"/>
    <xf numFmtId="0" fontId="3" fillId="17" borderId="49" xfId="0" applyFont="1" applyFill="1" applyBorder="1"/>
    <xf numFmtId="0" fontId="0" fillId="17" borderId="58" xfId="0" applyFill="1" applyBorder="1"/>
    <xf numFmtId="180" fontId="0" fillId="17" borderId="0" xfId="0" applyNumberFormat="1" applyFill="1" applyBorder="1"/>
    <xf numFmtId="0" fontId="0" fillId="17" borderId="0" xfId="0" applyFill="1" applyBorder="1"/>
    <xf numFmtId="0" fontId="0" fillId="17" borderId="9" xfId="0" applyFill="1" applyBorder="1"/>
    <xf numFmtId="2" fontId="44" fillId="17" borderId="5" xfId="0" applyNumberFormat="1" applyFont="1" applyFill="1" applyBorder="1"/>
    <xf numFmtId="0" fontId="0" fillId="17" borderId="5" xfId="0" applyFill="1" applyBorder="1"/>
    <xf numFmtId="0" fontId="0" fillId="17" borderId="6" xfId="0" applyFill="1" applyBorder="1"/>
    <xf numFmtId="2" fontId="0" fillId="17" borderId="3" xfId="0" applyNumberFormat="1" applyFill="1" applyBorder="1"/>
    <xf numFmtId="0" fontId="0" fillId="17" borderId="3" xfId="0" applyFill="1" applyBorder="1"/>
    <xf numFmtId="0" fontId="3" fillId="18" borderId="12" xfId="0" applyFont="1" applyFill="1" applyBorder="1"/>
    <xf numFmtId="2" fontId="3" fillId="18" borderId="4" xfId="0" applyNumberFormat="1" applyFont="1" applyFill="1" applyBorder="1"/>
    <xf numFmtId="0" fontId="0" fillId="18" borderId="4" xfId="0" applyFill="1" applyBorder="1"/>
    <xf numFmtId="0" fontId="3" fillId="18" borderId="6" xfId="0" applyFont="1" applyFill="1" applyBorder="1"/>
    <xf numFmtId="2" fontId="3" fillId="18" borderId="3" xfId="0" applyNumberFormat="1" applyFont="1" applyFill="1" applyBorder="1"/>
    <xf numFmtId="0" fontId="0" fillId="18" borderId="3" xfId="0" applyFill="1" applyBorder="1"/>
    <xf numFmtId="0" fontId="3" fillId="18" borderId="0" xfId="0" applyFont="1" applyFill="1" applyBorder="1"/>
    <xf numFmtId="0" fontId="0" fillId="18" borderId="0" xfId="0" applyFill="1" applyBorder="1"/>
    <xf numFmtId="167" fontId="0" fillId="0" borderId="0" xfId="0" applyNumberFormat="1"/>
    <xf numFmtId="2" fontId="0" fillId="16" borderId="60" xfId="0" applyNumberFormat="1" applyFill="1" applyBorder="1" applyAlignment="1">
      <alignment horizontal="center"/>
    </xf>
    <xf numFmtId="0" fontId="0" fillId="14" borderId="61" xfId="0" applyFill="1" applyBorder="1" applyAlignment="1">
      <alignment horizontal="center"/>
    </xf>
    <xf numFmtId="2" fontId="0" fillId="16" borderId="61" xfId="0" applyNumberFormat="1" applyFill="1" applyBorder="1" applyAlignment="1">
      <alignment horizontal="center"/>
    </xf>
    <xf numFmtId="0" fontId="31" fillId="0" borderId="0" xfId="0" applyFont="1"/>
    <xf numFmtId="0" fontId="0" fillId="0" borderId="58" xfId="0" applyBorder="1"/>
    <xf numFmtId="0" fontId="0" fillId="0" borderId="53" xfId="0" applyBorder="1"/>
    <xf numFmtId="0" fontId="0" fillId="0" borderId="54" xfId="0" applyBorder="1"/>
    <xf numFmtId="0" fontId="45" fillId="0" borderId="0" xfId="0" applyFont="1"/>
    <xf numFmtId="0" fontId="46" fillId="0" borderId="0" xfId="0" applyFont="1"/>
    <xf numFmtId="0" fontId="3" fillId="16" borderId="48" xfId="0" applyFont="1" applyFill="1" applyBorder="1"/>
    <xf numFmtId="0" fontId="0" fillId="16" borderId="49" xfId="0" applyFill="1" applyBorder="1"/>
    <xf numFmtId="0" fontId="29" fillId="16" borderId="53" xfId="0" applyFont="1" applyFill="1" applyBorder="1" applyAlignment="1">
      <alignment horizontal="center"/>
    </xf>
    <xf numFmtId="0" fontId="29" fillId="16" borderId="54" xfId="0" applyFont="1" applyFill="1" applyBorder="1" applyAlignment="1">
      <alignment horizontal="center"/>
    </xf>
    <xf numFmtId="0" fontId="42" fillId="16" borderId="54" xfId="0" applyFont="1" applyFill="1" applyBorder="1" applyAlignment="1">
      <alignment horizontal="center"/>
    </xf>
    <xf numFmtId="0" fontId="0" fillId="0" borderId="0" xfId="0" applyAlignment="1">
      <alignment horizontal="right"/>
    </xf>
    <xf numFmtId="167" fontId="3" fillId="0" borderId="0" xfId="0" applyNumberFormat="1" applyFont="1"/>
    <xf numFmtId="167" fontId="3" fillId="0" borderId="0" xfId="0" applyNumberFormat="1" applyFont="1" applyAlignment="1">
      <alignment horizontal="center"/>
    </xf>
    <xf numFmtId="167" fontId="49" fillId="7" borderId="11" xfId="0" applyNumberFormat="1" applyFont="1" applyFill="1" applyBorder="1"/>
    <xf numFmtId="167" fontId="3" fillId="7" borderId="11" xfId="0" applyNumberFormat="1" applyFont="1" applyFill="1" applyBorder="1"/>
    <xf numFmtId="167" fontId="3" fillId="0" borderId="11" xfId="0" applyNumberFormat="1" applyFont="1" applyFill="1" applyBorder="1"/>
    <xf numFmtId="167" fontId="1" fillId="0" borderId="0" xfId="0" applyNumberFormat="1" applyFont="1" applyFill="1" applyBorder="1"/>
    <xf numFmtId="0" fontId="1" fillId="0" borderId="0" xfId="0" applyFont="1" applyFill="1" applyBorder="1"/>
    <xf numFmtId="0" fontId="1" fillId="5" borderId="62" xfId="0" applyFont="1" applyFill="1" applyBorder="1"/>
    <xf numFmtId="0" fontId="1" fillId="5" borderId="63" xfId="0" applyFont="1" applyFill="1" applyBorder="1" applyAlignment="1">
      <alignment horizontal="center"/>
    </xf>
    <xf numFmtId="0" fontId="1" fillId="5" borderId="64" xfId="0" applyFont="1" applyFill="1" applyBorder="1" applyAlignment="1">
      <alignment horizontal="center"/>
    </xf>
    <xf numFmtId="2" fontId="1" fillId="0" borderId="0" xfId="0" applyNumberFormat="1" applyFont="1" applyFill="1"/>
    <xf numFmtId="0" fontId="1" fillId="12" borderId="43" xfId="0" applyFont="1" applyFill="1" applyBorder="1" applyAlignment="1">
      <alignment horizontal="left"/>
    </xf>
    <xf numFmtId="0" fontId="1" fillId="12" borderId="0" xfId="0" applyFont="1" applyFill="1" applyBorder="1" applyAlignment="1">
      <alignment horizontal="center"/>
    </xf>
    <xf numFmtId="2" fontId="44" fillId="12" borderId="0" xfId="0" applyNumberFormat="1" applyFont="1" applyFill="1" applyBorder="1" applyAlignment="1">
      <alignment horizontal="center"/>
    </xf>
    <xf numFmtId="180" fontId="1" fillId="12" borderId="0" xfId="0" applyNumberFormat="1" applyFont="1" applyFill="1" applyBorder="1" applyAlignment="1">
      <alignment horizontal="center"/>
    </xf>
    <xf numFmtId="181" fontId="50" fillId="12" borderId="44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2" fontId="1" fillId="12" borderId="0" xfId="0" applyNumberFormat="1" applyFont="1" applyFill="1" applyBorder="1" applyAlignment="1">
      <alignment horizontal="center"/>
    </xf>
    <xf numFmtId="181" fontId="1" fillId="12" borderId="44" xfId="0" applyNumberFormat="1" applyFont="1" applyFill="1" applyBorder="1" applyAlignment="1">
      <alignment horizontal="center"/>
    </xf>
    <xf numFmtId="0" fontId="1" fillId="5" borderId="65" xfId="0" applyFont="1" applyFill="1" applyBorder="1"/>
    <xf numFmtId="0" fontId="3" fillId="5" borderId="66" xfId="0" applyFont="1" applyFill="1" applyBorder="1" applyAlignment="1">
      <alignment horizontal="center"/>
    </xf>
    <xf numFmtId="2" fontId="3" fillId="5" borderId="66" xfId="0" applyNumberFormat="1" applyFont="1" applyFill="1" applyBorder="1" applyAlignment="1">
      <alignment horizontal="center"/>
    </xf>
    <xf numFmtId="2" fontId="3" fillId="5" borderId="67" xfId="0" applyNumberFormat="1" applyFont="1" applyFill="1" applyBorder="1" applyAlignment="1">
      <alignment horizontal="center"/>
    </xf>
    <xf numFmtId="167" fontId="1" fillId="0" borderId="0" xfId="0" applyNumberFormat="1" applyFont="1"/>
    <xf numFmtId="2" fontId="3" fillId="0" borderId="0" xfId="0" applyNumberFormat="1" applyFont="1"/>
    <xf numFmtId="0" fontId="1" fillId="19" borderId="68" xfId="0" applyFont="1" applyFill="1" applyBorder="1"/>
    <xf numFmtId="0" fontId="1" fillId="19" borderId="5" xfId="0" applyFont="1" applyFill="1" applyBorder="1" applyAlignment="1">
      <alignment horizontal="center"/>
    </xf>
    <xf numFmtId="167" fontId="1" fillId="19" borderId="5" xfId="0" applyNumberFormat="1" applyFont="1" applyFill="1" applyBorder="1" applyAlignment="1">
      <alignment horizontal="center"/>
    </xf>
    <xf numFmtId="180" fontId="1" fillId="19" borderId="5" xfId="0" applyNumberFormat="1" applyFont="1" applyFill="1" applyBorder="1" applyAlignment="1">
      <alignment horizontal="center"/>
    </xf>
    <xf numFmtId="2" fontId="1" fillId="19" borderId="69" xfId="0" applyNumberFormat="1" applyFont="1" applyFill="1" applyBorder="1" applyAlignment="1">
      <alignment horizontal="center"/>
    </xf>
    <xf numFmtId="0" fontId="1" fillId="19" borderId="43" xfId="0" applyFont="1" applyFill="1" applyBorder="1" applyAlignment="1">
      <alignment horizontal="left"/>
    </xf>
    <xf numFmtId="0" fontId="1" fillId="19" borderId="0" xfId="0" applyFont="1" applyFill="1" applyBorder="1" applyAlignment="1">
      <alignment horizontal="center"/>
    </xf>
    <xf numFmtId="167" fontId="1" fillId="19" borderId="0" xfId="0" applyNumberFormat="1" applyFont="1" applyFill="1" applyBorder="1" applyAlignment="1">
      <alignment horizontal="center"/>
    </xf>
    <xf numFmtId="180" fontId="1" fillId="19" borderId="0" xfId="0" applyNumberFormat="1" applyFont="1" applyFill="1" applyBorder="1" applyAlignment="1">
      <alignment horizontal="center"/>
    </xf>
    <xf numFmtId="2" fontId="1" fillId="19" borderId="44" xfId="0" applyNumberFormat="1" applyFont="1" applyFill="1" applyBorder="1" applyAlignment="1">
      <alignment horizontal="center"/>
    </xf>
    <xf numFmtId="167" fontId="3" fillId="0" borderId="0" xfId="0" applyNumberFormat="1" applyFont="1" applyFill="1"/>
    <xf numFmtId="0" fontId="1" fillId="19" borderId="43" xfId="0" applyFont="1" applyFill="1" applyBorder="1" applyAlignment="1">
      <alignment horizontal="center"/>
    </xf>
    <xf numFmtId="2" fontId="1" fillId="19" borderId="0" xfId="0" applyNumberFormat="1" applyFont="1" applyFill="1" applyBorder="1" applyAlignment="1">
      <alignment horizontal="center"/>
    </xf>
    <xf numFmtId="0" fontId="1" fillId="19" borderId="70" xfId="0" applyFont="1" applyFill="1" applyBorder="1" applyAlignment="1">
      <alignment horizontal="left"/>
    </xf>
    <xf numFmtId="0" fontId="1" fillId="19" borderId="3" xfId="0" applyFont="1" applyFill="1" applyBorder="1" applyAlignment="1">
      <alignment horizontal="center"/>
    </xf>
    <xf numFmtId="2" fontId="1" fillId="19" borderId="3" xfId="0" applyNumberFormat="1" applyFont="1" applyFill="1" applyBorder="1" applyAlignment="1">
      <alignment horizontal="center"/>
    </xf>
    <xf numFmtId="2" fontId="1" fillId="19" borderId="7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" fillId="19" borderId="43" xfId="0" applyFont="1" applyFill="1" applyBorder="1"/>
    <xf numFmtId="0" fontId="1" fillId="19" borderId="0" xfId="0" applyFont="1" applyFill="1" applyBorder="1"/>
    <xf numFmtId="169" fontId="3" fillId="10" borderId="26" xfId="0" applyNumberFormat="1" applyFont="1" applyFill="1" applyBorder="1" applyAlignment="1">
      <alignment horizontal="center"/>
    </xf>
    <xf numFmtId="169" fontId="3" fillId="19" borderId="26" xfId="0" applyNumberFormat="1" applyFont="1" applyFill="1" applyBorder="1" applyAlignment="1">
      <alignment horizontal="center"/>
    </xf>
    <xf numFmtId="169" fontId="1" fillId="10" borderId="26" xfId="0" applyNumberFormat="1" applyFont="1" applyFill="1" applyBorder="1" applyAlignment="1">
      <alignment horizontal="center"/>
    </xf>
    <xf numFmtId="169" fontId="1" fillId="19" borderId="26" xfId="0" applyNumberFormat="1" applyFont="1" applyFill="1" applyBorder="1" applyAlignment="1">
      <alignment horizontal="center"/>
    </xf>
    <xf numFmtId="169" fontId="1" fillId="0" borderId="0" xfId="0" applyNumberFormat="1" applyFont="1" applyFill="1"/>
    <xf numFmtId="169" fontId="1" fillId="0" borderId="16" xfId="0" applyNumberFormat="1" applyFont="1" applyFill="1" applyBorder="1" applyAlignment="1">
      <alignment horizontal="center"/>
    </xf>
    <xf numFmtId="169" fontId="1" fillId="20" borderId="26" xfId="0" applyNumberFormat="1" applyFont="1" applyFill="1" applyBorder="1" applyAlignment="1">
      <alignment horizontal="center"/>
    </xf>
    <xf numFmtId="169" fontId="3" fillId="20" borderId="26" xfId="0" applyNumberFormat="1" applyFont="1" applyFill="1" applyBorder="1" applyAlignment="1">
      <alignment horizontal="center"/>
    </xf>
    <xf numFmtId="169" fontId="1" fillId="0" borderId="17" xfId="0" applyNumberFormat="1" applyFont="1" applyFill="1" applyBorder="1" applyAlignment="1">
      <alignment horizontal="center"/>
    </xf>
    <xf numFmtId="2" fontId="43" fillId="0" borderId="0" xfId="0" applyNumberFormat="1" applyFont="1" applyBorder="1"/>
    <xf numFmtId="0" fontId="29" fillId="0" borderId="0" xfId="0" applyFont="1" applyAlignment="1">
      <alignment horizontal="center"/>
    </xf>
    <xf numFmtId="167" fontId="0" fillId="0" borderId="0" xfId="0" applyNumberFormat="1" applyFill="1"/>
    <xf numFmtId="0" fontId="37" fillId="0" borderId="0" xfId="0" applyFont="1" applyFill="1"/>
    <xf numFmtId="0" fontId="47" fillId="0" borderId="0" xfId="0" applyFont="1"/>
    <xf numFmtId="0" fontId="0" fillId="21" borderId="0" xfId="0" applyFill="1"/>
    <xf numFmtId="2" fontId="1" fillId="21" borderId="0" xfId="0" applyNumberFormat="1" applyFont="1" applyFill="1"/>
    <xf numFmtId="2" fontId="34" fillId="21" borderId="0" xfId="0" applyNumberFormat="1" applyFont="1" applyFill="1"/>
    <xf numFmtId="0" fontId="3" fillId="0" borderId="0" xfId="0" applyFont="1" applyFill="1" applyAlignment="1">
      <alignment horizontal="right"/>
    </xf>
    <xf numFmtId="167" fontId="3" fillId="0" borderId="0" xfId="0" applyNumberFormat="1" applyFont="1" applyFill="1" applyAlignment="1">
      <alignment horizontal="left"/>
    </xf>
    <xf numFmtId="167" fontId="0" fillId="0" borderId="0" xfId="0" applyNumberFormat="1" applyFill="1" applyAlignment="1">
      <alignment horizontal="left"/>
    </xf>
    <xf numFmtId="0" fontId="40" fillId="0" borderId="0" xfId="0" applyFont="1" applyAlignment="1">
      <alignment horizontal="right"/>
    </xf>
    <xf numFmtId="0" fontId="40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/>
    <xf numFmtId="182" fontId="3" fillId="0" borderId="0" xfId="0" applyNumberFormat="1" applyFont="1" applyFill="1" applyAlignment="1">
      <alignment horizontal="left"/>
    </xf>
    <xf numFmtId="182" fontId="49" fillId="0" borderId="0" xfId="0" applyNumberFormat="1" applyFont="1" applyAlignment="1">
      <alignment horizontal="left"/>
    </xf>
    <xf numFmtId="181" fontId="3" fillId="0" borderId="0" xfId="0" applyNumberFormat="1" applyFont="1" applyAlignment="1">
      <alignment horizontal="left"/>
    </xf>
    <xf numFmtId="2" fontId="0" fillId="0" borderId="0" xfId="0" applyNumberFormat="1" applyAlignment="1">
      <alignment horizontal="right"/>
    </xf>
    <xf numFmtId="2" fontId="44" fillId="0" borderId="0" xfId="0" applyNumberFormat="1" applyFont="1" applyAlignment="1">
      <alignment horizontal="right"/>
    </xf>
    <xf numFmtId="0" fontId="1" fillId="10" borderId="62" xfId="0" applyFont="1" applyFill="1" applyBorder="1"/>
    <xf numFmtId="0" fontId="1" fillId="10" borderId="63" xfId="0" applyFont="1" applyFill="1" applyBorder="1" applyAlignment="1">
      <alignment horizontal="center"/>
    </xf>
    <xf numFmtId="0" fontId="1" fillId="10" borderId="64" xfId="0" applyFont="1" applyFill="1" applyBorder="1" applyAlignment="1">
      <alignment horizontal="center"/>
    </xf>
    <xf numFmtId="0" fontId="1" fillId="5" borderId="43" xfId="0" applyFont="1" applyFill="1" applyBorder="1"/>
    <xf numFmtId="0" fontId="1" fillId="5" borderId="0" xfId="0" applyFont="1" applyFill="1" applyBorder="1" applyAlignment="1">
      <alignment horizontal="center"/>
    </xf>
    <xf numFmtId="167" fontId="55" fillId="5" borderId="0" xfId="0" applyNumberFormat="1" applyFont="1" applyFill="1" applyBorder="1" applyAlignment="1">
      <alignment horizontal="center"/>
    </xf>
    <xf numFmtId="180" fontId="1" fillId="5" borderId="0" xfId="0" applyNumberFormat="1" applyFont="1" applyFill="1" applyBorder="1" applyAlignment="1">
      <alignment horizontal="center"/>
    </xf>
    <xf numFmtId="2" fontId="1" fillId="5" borderId="44" xfId="0" applyNumberFormat="1" applyFont="1" applyFill="1" applyBorder="1" applyAlignment="1">
      <alignment horizontal="center"/>
    </xf>
    <xf numFmtId="0" fontId="1" fillId="5" borderId="43" xfId="0" applyFont="1" applyFill="1" applyBorder="1" applyAlignment="1">
      <alignment horizontal="left"/>
    </xf>
    <xf numFmtId="167" fontId="1" fillId="5" borderId="0" xfId="0" applyNumberFormat="1" applyFont="1" applyFill="1" applyBorder="1" applyAlignment="1">
      <alignment horizontal="center"/>
    </xf>
    <xf numFmtId="0" fontId="1" fillId="10" borderId="65" xfId="0" applyFont="1" applyFill="1" applyBorder="1"/>
    <xf numFmtId="0" fontId="3" fillId="10" borderId="66" xfId="0" applyFont="1" applyFill="1" applyBorder="1" applyAlignment="1">
      <alignment horizontal="center"/>
    </xf>
    <xf numFmtId="2" fontId="3" fillId="10" borderId="66" xfId="0" applyNumberFormat="1" applyFont="1" applyFill="1" applyBorder="1" applyAlignment="1">
      <alignment horizontal="center"/>
    </xf>
    <xf numFmtId="2" fontId="3" fillId="10" borderId="67" xfId="0" applyNumberFormat="1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2" fontId="55" fillId="5" borderId="44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right"/>
    </xf>
    <xf numFmtId="0" fontId="29" fillId="0" borderId="0" xfId="0" applyFont="1" applyFill="1"/>
    <xf numFmtId="169" fontId="1" fillId="0" borderId="0" xfId="0" applyNumberFormat="1" applyFont="1" applyFill="1" applyBorder="1"/>
    <xf numFmtId="169" fontId="1" fillId="0" borderId="0" xfId="0" applyNumberFormat="1" applyFont="1" applyFill="1" applyBorder="1" applyAlignment="1">
      <alignment horizontal="center"/>
    </xf>
    <xf numFmtId="169" fontId="3" fillId="10" borderId="40" xfId="0" applyNumberFormat="1" applyFont="1" applyFill="1" applyBorder="1" applyAlignment="1">
      <alignment horizontal="center"/>
    </xf>
    <xf numFmtId="169" fontId="3" fillId="19" borderId="41" xfId="0" applyNumberFormat="1" applyFont="1" applyFill="1" applyBorder="1" applyAlignment="1">
      <alignment horizontal="center"/>
    </xf>
    <xf numFmtId="169" fontId="3" fillId="19" borderId="42" xfId="0" applyNumberFormat="1" applyFont="1" applyFill="1" applyBorder="1" applyAlignment="1">
      <alignment horizontal="center"/>
    </xf>
    <xf numFmtId="169" fontId="1" fillId="10" borderId="43" xfId="0" applyNumberFormat="1" applyFont="1" applyFill="1" applyBorder="1" applyAlignment="1">
      <alignment horizontal="center"/>
    </xf>
    <xf numFmtId="169" fontId="1" fillId="19" borderId="0" xfId="0" applyNumberFormat="1" applyFont="1" applyFill="1" applyBorder="1" applyAlignment="1">
      <alignment horizontal="center"/>
    </xf>
    <xf numFmtId="169" fontId="3" fillId="19" borderId="44" xfId="0" applyNumberFormat="1" applyFont="1" applyFill="1" applyBorder="1" applyAlignment="1">
      <alignment horizontal="center"/>
    </xf>
    <xf numFmtId="169" fontId="1" fillId="10" borderId="72" xfId="0" applyNumberFormat="1" applyFont="1" applyFill="1" applyBorder="1" applyAlignment="1">
      <alignment horizontal="center"/>
    </xf>
    <xf numFmtId="169" fontId="55" fillId="20" borderId="54" xfId="0" applyNumberFormat="1" applyFont="1" applyFill="1" applyBorder="1" applyAlignment="1">
      <alignment horizontal="center"/>
    </xf>
    <xf numFmtId="169" fontId="1" fillId="20" borderId="54" xfId="0" applyNumberFormat="1" applyFont="1" applyFill="1" applyBorder="1" applyAlignment="1">
      <alignment horizontal="center"/>
    </xf>
    <xf numFmtId="169" fontId="3" fillId="20" borderId="73" xfId="0" applyNumberFormat="1" applyFont="1" applyFill="1" applyBorder="1" applyAlignment="1">
      <alignment horizontal="center"/>
    </xf>
    <xf numFmtId="169" fontId="1" fillId="10" borderId="74" xfId="0" applyNumberFormat="1" applyFont="1" applyFill="1" applyBorder="1" applyAlignment="1">
      <alignment horizontal="center"/>
    </xf>
    <xf numFmtId="169" fontId="1" fillId="20" borderId="75" xfId="0" applyNumberFormat="1" applyFont="1" applyFill="1" applyBorder="1" applyAlignment="1">
      <alignment horizontal="center"/>
    </xf>
    <xf numFmtId="169" fontId="1" fillId="20" borderId="46" xfId="0" applyNumberFormat="1" applyFont="1" applyFill="1" applyBorder="1" applyAlignment="1">
      <alignment horizontal="center"/>
    </xf>
    <xf numFmtId="169" fontId="1" fillId="20" borderId="76" xfId="0" applyNumberFormat="1" applyFont="1" applyFill="1" applyBorder="1" applyAlignment="1">
      <alignment horizontal="center"/>
    </xf>
    <xf numFmtId="169" fontId="1" fillId="20" borderId="73" xfId="0" applyNumberFormat="1" applyFont="1" applyFill="1" applyBorder="1" applyAlignment="1">
      <alignment horizontal="center"/>
    </xf>
    <xf numFmtId="169" fontId="1" fillId="20" borderId="47" xfId="0" applyNumberFormat="1" applyFont="1" applyFill="1" applyBorder="1" applyAlignment="1">
      <alignment horizontal="center"/>
    </xf>
    <xf numFmtId="0" fontId="56" fillId="0" borderId="0" xfId="0" applyFont="1"/>
    <xf numFmtId="0" fontId="0" fillId="10" borderId="26" xfId="0" applyFill="1" applyBorder="1"/>
    <xf numFmtId="0" fontId="0" fillId="19" borderId="26" xfId="0" applyFill="1" applyBorder="1" applyAlignment="1">
      <alignment horizontal="center"/>
    </xf>
    <xf numFmtId="167" fontId="0" fillId="19" borderId="26" xfId="0" applyNumberFormat="1" applyFill="1" applyBorder="1" applyAlignment="1">
      <alignment horizontal="center"/>
    </xf>
    <xf numFmtId="2" fontId="0" fillId="20" borderId="26" xfId="0" applyNumberFormat="1" applyFill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0" fontId="1" fillId="10" borderId="26" xfId="0" applyFont="1" applyFill="1" applyBorder="1"/>
    <xf numFmtId="167" fontId="56" fillId="0" borderId="26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167" fontId="57" fillId="0" borderId="26" xfId="0" applyNumberFormat="1" applyFon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0" fontId="3" fillId="14" borderId="0" xfId="0" applyFont="1" applyFill="1" applyAlignment="1">
      <alignment horizontal="right"/>
    </xf>
    <xf numFmtId="0" fontId="29" fillId="14" borderId="0" xfId="0" applyFont="1" applyFill="1"/>
    <xf numFmtId="0" fontId="1" fillId="14" borderId="0" xfId="0" applyFont="1" applyFill="1" applyBorder="1"/>
    <xf numFmtId="0" fontId="1" fillId="14" borderId="0" xfId="0" applyFont="1" applyFill="1"/>
    <xf numFmtId="0" fontId="3" fillId="0" borderId="46" xfId="0" applyFont="1" applyBorder="1"/>
    <xf numFmtId="0" fontId="1" fillId="0" borderId="46" xfId="0" applyFont="1" applyBorder="1"/>
    <xf numFmtId="0" fontId="0" fillId="7" borderId="0" xfId="0" applyFill="1"/>
    <xf numFmtId="0" fontId="0" fillId="14" borderId="0" xfId="0" applyFill="1"/>
    <xf numFmtId="0" fontId="24" fillId="0" borderId="0" xfId="0" applyFont="1" applyBorder="1"/>
    <xf numFmtId="2" fontId="24" fillId="0" borderId="0" xfId="0" applyNumberFormat="1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1" fillId="0" borderId="0" xfId="0" applyFont="1" applyBorder="1"/>
    <xf numFmtId="2" fontId="1" fillId="0" borderId="0" xfId="0" applyNumberFormat="1" applyFont="1"/>
    <xf numFmtId="0" fontId="1" fillId="14" borderId="0" xfId="0" applyFont="1" applyFill="1" applyBorder="1" applyAlignment="1">
      <alignment horizontal="right"/>
    </xf>
    <xf numFmtId="0" fontId="1" fillId="14" borderId="0" xfId="0" applyFont="1" applyFill="1" applyBorder="1" applyAlignment="1">
      <alignment horizontal="center"/>
    </xf>
    <xf numFmtId="0" fontId="1" fillId="0" borderId="46" xfId="0" applyFont="1" applyBorder="1" applyAlignment="1">
      <alignment horizontal="right"/>
    </xf>
    <xf numFmtId="0" fontId="4" fillId="12" borderId="26" xfId="0" applyFont="1" applyFill="1" applyBorder="1" applyAlignment="1">
      <alignment horizontal="left" vertical="top"/>
    </xf>
    <xf numFmtId="0" fontId="1" fillId="12" borderId="26" xfId="0" applyFont="1" applyFill="1" applyBorder="1"/>
    <xf numFmtId="0" fontId="23" fillId="12" borderId="26" xfId="0" applyFont="1" applyFill="1" applyBorder="1"/>
    <xf numFmtId="0" fontId="47" fillId="12" borderId="26" xfId="0" applyFont="1" applyFill="1" applyBorder="1" applyAlignment="1">
      <alignment horizontal="center"/>
    </xf>
    <xf numFmtId="0" fontId="25" fillId="12" borderId="26" xfId="0" applyFont="1" applyFill="1" applyBorder="1"/>
    <xf numFmtId="0" fontId="1" fillId="7" borderId="0" xfId="0" applyFont="1" applyFill="1"/>
    <xf numFmtId="0" fontId="24" fillId="5" borderId="26" xfId="0" applyFont="1" applyFill="1" applyBorder="1" applyAlignment="1">
      <alignment horizontal="center"/>
    </xf>
    <xf numFmtId="168" fontId="24" fillId="0" borderId="0" xfId="0" applyNumberFormat="1" applyFont="1" applyBorder="1"/>
    <xf numFmtId="0" fontId="1" fillId="0" borderId="46" xfId="0" applyFont="1" applyFill="1" applyBorder="1"/>
    <xf numFmtId="0" fontId="4" fillId="0" borderId="26" xfId="0" applyFont="1" applyBorder="1" applyAlignment="1">
      <alignment horizontal="left"/>
    </xf>
    <xf numFmtId="0" fontId="1" fillId="12" borderId="26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left"/>
    </xf>
    <xf numFmtId="0" fontId="58" fillId="12" borderId="26" xfId="0" applyFont="1" applyFill="1" applyBorder="1" applyAlignment="1">
      <alignment horizontal="center"/>
    </xf>
    <xf numFmtId="0" fontId="5" fillId="12" borderId="26" xfId="0" applyFont="1" applyFill="1" applyBorder="1"/>
    <xf numFmtId="169" fontId="1" fillId="7" borderId="0" xfId="0" applyNumberFormat="1" applyFont="1" applyFill="1" applyBorder="1"/>
    <xf numFmtId="168" fontId="24" fillId="5" borderId="26" xfId="0" applyNumberFormat="1" applyFont="1" applyFill="1" applyBorder="1"/>
    <xf numFmtId="0" fontId="59" fillId="0" borderId="0" xfId="0" applyFont="1" applyBorder="1"/>
    <xf numFmtId="0" fontId="59" fillId="0" borderId="0" xfId="0" applyFont="1"/>
    <xf numFmtId="0" fontId="59" fillId="0" borderId="0" xfId="0" applyFont="1" applyFill="1"/>
    <xf numFmtId="169" fontId="60" fillId="0" borderId="11" xfId="0" applyNumberFormat="1" applyFont="1" applyFill="1" applyBorder="1"/>
    <xf numFmtId="2" fontId="60" fillId="0" borderId="11" xfId="0" applyNumberFormat="1" applyFont="1" applyFill="1" applyBorder="1" applyAlignment="1">
      <alignment horizontal="center"/>
    </xf>
    <xf numFmtId="0" fontId="24" fillId="0" borderId="0" xfId="0" applyFont="1" applyFill="1" applyBorder="1"/>
    <xf numFmtId="168" fontId="60" fillId="0" borderId="0" xfId="0" applyNumberFormat="1" applyFont="1" applyFill="1" applyBorder="1"/>
    <xf numFmtId="0" fontId="4" fillId="0" borderId="0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61" fillId="0" borderId="0" xfId="0" applyFont="1"/>
    <xf numFmtId="0" fontId="62" fillId="0" borderId="0" xfId="0" applyFont="1"/>
    <xf numFmtId="0" fontId="4" fillId="22" borderId="0" xfId="0" applyFont="1" applyFill="1"/>
    <xf numFmtId="2" fontId="4" fillId="22" borderId="0" xfId="0" applyNumberFormat="1" applyFont="1" applyFill="1" applyBorder="1" applyAlignment="1" applyProtection="1">
      <alignment horizontal="center"/>
      <protection locked="0"/>
    </xf>
    <xf numFmtId="169" fontId="24" fillId="5" borderId="0" xfId="0" applyNumberFormat="1" applyFont="1" applyFill="1" applyBorder="1"/>
    <xf numFmtId="2" fontId="24" fillId="5" borderId="0" xfId="0" applyNumberFormat="1" applyFont="1" applyFill="1" applyBorder="1" applyAlignment="1">
      <alignment horizontal="center"/>
    </xf>
    <xf numFmtId="167" fontId="24" fillId="5" borderId="0" xfId="0" applyNumberFormat="1" applyFont="1" applyFill="1" applyBorder="1" applyAlignment="1">
      <alignment horizontal="center"/>
    </xf>
    <xf numFmtId="2" fontId="21" fillId="22" borderId="0" xfId="0" applyNumberFormat="1" applyFont="1" applyFill="1"/>
    <xf numFmtId="0" fontId="24" fillId="5" borderId="0" xfId="0" applyFont="1" applyFill="1" applyBorder="1" applyAlignment="1">
      <alignment horizontal="center"/>
    </xf>
    <xf numFmtId="0" fontId="4" fillId="23" borderId="0" xfId="0" applyFont="1" applyFill="1"/>
    <xf numFmtId="0" fontId="4" fillId="25" borderId="0" xfId="0" applyFont="1" applyFill="1"/>
    <xf numFmtId="0" fontId="4" fillId="0" borderId="11" xfId="0" applyFont="1" applyFill="1" applyBorder="1" applyAlignment="1" applyProtection="1">
      <alignment horizontal="center"/>
      <protection locked="0"/>
    </xf>
    <xf numFmtId="2" fontId="4" fillId="0" borderId="11" xfId="0" applyNumberFormat="1" applyFont="1" applyFill="1" applyBorder="1" applyAlignment="1" applyProtection="1">
      <alignment horizontal="center"/>
      <protection locked="0"/>
    </xf>
    <xf numFmtId="0" fontId="4" fillId="5" borderId="11" xfId="0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Alignment="1" applyProtection="1">
      <alignment horizontal="center"/>
      <protection locked="0"/>
    </xf>
    <xf numFmtId="0" fontId="4" fillId="22" borderId="11" xfId="0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2" fontId="4" fillId="5" borderId="11" xfId="0" applyNumberFormat="1" applyFont="1" applyFill="1" applyBorder="1" applyAlignment="1" applyProtection="1">
      <alignment horizontal="center"/>
      <protection locked="0"/>
    </xf>
    <xf numFmtId="0" fontId="61" fillId="0" borderId="11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5" fontId="4" fillId="24" borderId="0" xfId="0" applyNumberFormat="1" applyFont="1" applyFill="1" applyAlignment="1">
      <alignment horizontal="center"/>
    </xf>
    <xf numFmtId="175" fontId="4" fillId="0" borderId="0" xfId="0" applyNumberFormat="1" applyFont="1" applyFill="1" applyBorder="1" applyAlignment="1" applyProtection="1">
      <alignment horizontal="center"/>
      <protection locked="0"/>
    </xf>
    <xf numFmtId="175" fontId="4" fillId="0" borderId="0" xfId="0" applyNumberFormat="1" applyFont="1" applyAlignment="1">
      <alignment horizontal="center"/>
    </xf>
    <xf numFmtId="175" fontId="4" fillId="2" borderId="0" xfId="0" applyNumberFormat="1" applyFont="1" applyFill="1" applyBorder="1" applyAlignment="1" applyProtection="1">
      <alignment horizontal="center"/>
      <protection locked="0"/>
    </xf>
    <xf numFmtId="175" fontId="4" fillId="24" borderId="0" xfId="0" applyNumberFormat="1" applyFont="1" applyFill="1" applyBorder="1" applyAlignment="1" applyProtection="1">
      <alignment horizontal="center"/>
      <protection locked="0"/>
    </xf>
    <xf numFmtId="178" fontId="4" fillId="2" borderId="0" xfId="0" applyNumberFormat="1" applyFont="1" applyFill="1" applyBorder="1" applyAlignment="1" applyProtection="1">
      <alignment horizontal="center"/>
      <protection locked="0"/>
    </xf>
    <xf numFmtId="178" fontId="4" fillId="0" borderId="0" xfId="0" applyNumberFormat="1" applyFont="1" applyFill="1" applyBorder="1" applyAlignment="1" applyProtection="1">
      <alignment horizontal="center"/>
      <protection locked="0"/>
    </xf>
    <xf numFmtId="175" fontId="4" fillId="6" borderId="0" xfId="0" applyNumberFormat="1" applyFont="1" applyFill="1" applyBorder="1" applyAlignment="1">
      <alignment horizontal="center"/>
    </xf>
    <xf numFmtId="175" fontId="4" fillId="6" borderId="0" xfId="0" applyNumberFormat="1" applyFont="1" applyFill="1" applyAlignment="1">
      <alignment horizontal="center"/>
    </xf>
    <xf numFmtId="175" fontId="4" fillId="11" borderId="0" xfId="0" applyNumberFormat="1" applyFont="1" applyFill="1" applyBorder="1" applyAlignment="1" applyProtection="1">
      <alignment horizontal="center"/>
      <protection locked="0"/>
    </xf>
    <xf numFmtId="176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11" borderId="0" xfId="0" applyNumberFormat="1" applyFont="1" applyFill="1" applyAlignment="1">
      <alignment horizontal="center"/>
    </xf>
    <xf numFmtId="2" fontId="4" fillId="0" borderId="0" xfId="0" applyNumberFormat="1" applyFont="1" applyBorder="1" applyAlignment="1">
      <alignment horizontal="right"/>
    </xf>
    <xf numFmtId="2" fontId="4" fillId="5" borderId="0" xfId="0" applyNumberFormat="1" applyFont="1" applyFill="1" applyAlignment="1">
      <alignment horizontal="center"/>
    </xf>
    <xf numFmtId="2" fontId="4" fillId="5" borderId="0" xfId="0" applyNumberFormat="1" applyFont="1" applyFill="1" applyBorder="1" applyAlignment="1">
      <alignment horizontal="center"/>
    </xf>
    <xf numFmtId="167" fontId="4" fillId="5" borderId="0" xfId="0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0" borderId="0" xfId="2" applyNumberFormat="1" applyFont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175" fontId="0" fillId="5" borderId="0" xfId="0" applyNumberFormat="1" applyFill="1" applyAlignment="1">
      <alignment horizontal="center"/>
    </xf>
    <xf numFmtId="43" fontId="4" fillId="5" borderId="0" xfId="0" applyNumberFormat="1" applyFont="1" applyFill="1" applyBorder="1" applyAlignment="1">
      <alignment horizontal="center"/>
    </xf>
    <xf numFmtId="167" fontId="4" fillId="0" borderId="0" xfId="2" applyNumberFormat="1" applyFont="1" applyBorder="1" applyAlignment="1">
      <alignment horizontal="center"/>
    </xf>
    <xf numFmtId="2" fontId="4" fillId="8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9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8" fontId="4" fillId="5" borderId="0" xfId="0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168" fontId="4" fillId="7" borderId="0" xfId="0" applyNumberFormat="1" applyFont="1" applyFill="1" applyAlignment="1">
      <alignment horizontal="center"/>
    </xf>
    <xf numFmtId="173" fontId="4" fillId="7" borderId="0" xfId="0" applyNumberFormat="1" applyFont="1" applyFill="1" applyAlignment="1"/>
    <xf numFmtId="167" fontId="4" fillId="5" borderId="0" xfId="2" applyNumberFormat="1" applyFont="1" applyFill="1" applyAlignment="1">
      <alignment horizontal="center"/>
    </xf>
    <xf numFmtId="17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168" fontId="4" fillId="5" borderId="0" xfId="2" applyNumberFormat="1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174" fontId="4" fillId="5" borderId="0" xfId="2" applyNumberFormat="1" applyFont="1" applyFill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4" fillId="11" borderId="0" xfId="0" applyFont="1" applyFill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2" fontId="4" fillId="5" borderId="2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 vertical="center"/>
    </xf>
    <xf numFmtId="0" fontId="4" fillId="12" borderId="26" xfId="0" applyFont="1" applyFill="1" applyBorder="1" applyAlignment="1">
      <alignment horizontal="center" vertical="center" wrapText="1"/>
    </xf>
    <xf numFmtId="0" fontId="35" fillId="0" borderId="41" xfId="0" applyFont="1" applyFill="1" applyBorder="1" applyAlignment="1">
      <alignment horizontal="left" vertical="center" wrapText="1"/>
    </xf>
    <xf numFmtId="0" fontId="35" fillId="0" borderId="42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44" xfId="0" applyFont="1" applyFill="1" applyBorder="1" applyAlignment="1">
      <alignment horizontal="left" vertical="center" wrapText="1"/>
    </xf>
    <xf numFmtId="0" fontId="0" fillId="13" borderId="27" xfId="0" applyFill="1" applyBorder="1" applyAlignment="1">
      <alignment horizontal="center" vertical="center" wrapText="1"/>
    </xf>
    <xf numFmtId="0" fontId="0" fillId="13" borderId="30" xfId="0" applyFill="1" applyBorder="1" applyAlignment="1">
      <alignment horizontal="center" vertical="center" wrapText="1"/>
    </xf>
    <xf numFmtId="0" fontId="0" fillId="13" borderId="31" xfId="0" applyFill="1" applyBorder="1" applyAlignment="1">
      <alignment horizontal="center"/>
    </xf>
    <xf numFmtId="0" fontId="0" fillId="13" borderId="32" xfId="0" applyFill="1" applyBorder="1" applyAlignment="1">
      <alignment horizontal="center"/>
    </xf>
    <xf numFmtId="0" fontId="0" fillId="13" borderId="33" xfId="0" applyFill="1" applyBorder="1" applyAlignment="1">
      <alignment horizontal="center"/>
    </xf>
    <xf numFmtId="0" fontId="35" fillId="0" borderId="40" xfId="0" applyFont="1" applyFill="1" applyBorder="1" applyAlignment="1">
      <alignment horizontal="right" vertical="center" wrapText="1"/>
    </xf>
    <xf numFmtId="0" fontId="35" fillId="0" borderId="43" xfId="0" applyFont="1" applyFill="1" applyBorder="1" applyAlignment="1">
      <alignment horizontal="right" vertical="center" wrapText="1"/>
    </xf>
    <xf numFmtId="0" fontId="35" fillId="0" borderId="41" xfId="0" applyFont="1" applyFill="1" applyBorder="1" applyAlignment="1">
      <alignment horizontal="right" vertical="center" wrapText="1"/>
    </xf>
    <xf numFmtId="0" fontId="35" fillId="0" borderId="0" xfId="0" applyFont="1" applyFill="1" applyBorder="1" applyAlignment="1">
      <alignment horizontal="right" vertical="center" wrapText="1"/>
    </xf>
    <xf numFmtId="175" fontId="4" fillId="5" borderId="0" xfId="0" applyNumberFormat="1" applyFont="1" applyFill="1" applyBorder="1" applyAlignment="1">
      <alignment horizontal="center"/>
    </xf>
    <xf numFmtId="175" fontId="4" fillId="5" borderId="1" xfId="0" applyNumberFormat="1" applyFont="1" applyFill="1" applyBorder="1" applyAlignment="1">
      <alignment horizontal="center"/>
    </xf>
    <xf numFmtId="167" fontId="4" fillId="5" borderId="0" xfId="0" applyNumberFormat="1" applyFont="1" applyFill="1" applyAlignment="1">
      <alignment horizontal="center"/>
    </xf>
    <xf numFmtId="2" fontId="4" fillId="5" borderId="0" xfId="0" applyNumberFormat="1" applyFont="1" applyFill="1" applyBorder="1" applyAlignment="1">
      <alignment horizontal="right"/>
    </xf>
  </cellXfs>
  <cellStyles count="3">
    <cellStyle name="Euro" xfId="1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ESTRIBO DERECHO</a:t>
            </a:r>
          </a:p>
        </c:rich>
      </c:tx>
      <c:layout>
        <c:manualLayout>
          <c:xMode val="edge"/>
          <c:yMode val="edge"/>
          <c:x val="0.25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2857142857142"/>
          <c:y val="0.21014567108834029"/>
          <c:w val="0.7232142857142857"/>
          <c:h val="0.68840823287559749"/>
        </c:manualLayout>
      </c:layout>
      <c:scatterChart>
        <c:scatterStyle val="lineMarker"/>
        <c:varyColors val="0"/>
        <c:ser>
          <c:idx val="0"/>
          <c:order val="0"/>
          <c:tx>
            <c:v>ESTRIBO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'[1]H=3m'!$B$81:$B$114</c:f>
              <c:numCache>
                <c:formatCode>General</c:formatCode>
                <c:ptCount val="3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1.8</c:v>
                </c:pt>
                <c:pt idx="4">
                  <c:v>0.7</c:v>
                </c:pt>
                <c:pt idx="5">
                  <c:v>0.1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'[1]H=3m'!$C$81:$C$114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0.5</c:v>
                </c:pt>
                <c:pt idx="7">
                  <c:v>0.5</c:v>
                </c:pt>
                <c:pt idx="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RELLENO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'[1]H=3m'!$G$81:$G$114</c:f>
              <c:numCache>
                <c:formatCode>General</c:formatCode>
                <c:ptCount val="34"/>
                <c:pt idx="0">
                  <c:v>2</c:v>
                </c:pt>
                <c:pt idx="1">
                  <c:v>2</c:v>
                </c:pt>
                <c:pt idx="2">
                  <c:v>0.7</c:v>
                </c:pt>
                <c:pt idx="3">
                  <c:v>1.8</c:v>
                </c:pt>
              </c:numCache>
            </c:numRef>
          </c:xVal>
          <c:yVal>
            <c:numRef>
              <c:f>'[1]H=3m'!$H$81:$H$114</c:f>
              <c:numCache>
                <c:formatCode>General</c:formatCode>
                <c:ptCount val="34"/>
                <c:pt idx="0">
                  <c:v>0.5</c:v>
                </c:pt>
                <c:pt idx="1">
                  <c:v>3</c:v>
                </c:pt>
                <c:pt idx="2">
                  <c:v>3</c:v>
                </c:pt>
                <c:pt idx="3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788880"/>
        <c:axId val="216789440"/>
      </c:scatterChart>
      <c:valAx>
        <c:axId val="21678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6789440"/>
        <c:crosses val="autoZero"/>
        <c:crossBetween val="midCat"/>
        <c:majorUnit val="1"/>
        <c:minorUnit val="0.5"/>
      </c:valAx>
      <c:valAx>
        <c:axId val="216789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6788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4.wmf"/><Relationship Id="rId7" Type="http://schemas.openxmlformats.org/officeDocument/2006/relationships/image" Target="../media/image7.emf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6" Type="http://schemas.openxmlformats.org/officeDocument/2006/relationships/image" Target="../media/image1.wmf"/><Relationship Id="rId11" Type="http://schemas.openxmlformats.org/officeDocument/2006/relationships/image" Target="../media/image11.emf"/><Relationship Id="rId5" Type="http://schemas.openxmlformats.org/officeDocument/2006/relationships/image" Target="../media/image6.wmf"/><Relationship Id="rId10" Type="http://schemas.openxmlformats.org/officeDocument/2006/relationships/image" Target="../media/image10.emf"/><Relationship Id="rId4" Type="http://schemas.openxmlformats.org/officeDocument/2006/relationships/image" Target="../media/image5.w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457200</xdr:colOff>
      <xdr:row>38</xdr:row>
      <xdr:rowOff>104775</xdr:rowOff>
    </xdr:from>
    <xdr:to>
      <xdr:col>11</xdr:col>
      <xdr:colOff>4600</xdr:colOff>
      <xdr:row>38</xdr:row>
      <xdr:rowOff>104775</xdr:rowOff>
    </xdr:to>
    <xdr:sp macro="" textlink="">
      <xdr:nvSpPr>
        <xdr:cNvPr id="2116293" name="Line 70"/>
        <xdr:cNvSpPr>
          <a:spLocks noChangeShapeType="1"/>
        </xdr:cNvSpPr>
      </xdr:nvSpPr>
      <xdr:spPr bwMode="auto">
        <a:xfrm>
          <a:off x="2409825" y="5676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561975</xdr:colOff>
      <xdr:row>37</xdr:row>
      <xdr:rowOff>28575</xdr:rowOff>
    </xdr:from>
    <xdr:to>
      <xdr:col>9</xdr:col>
      <xdr:colOff>714375</xdr:colOff>
      <xdr:row>38</xdr:row>
      <xdr:rowOff>28575</xdr:rowOff>
    </xdr:to>
    <xdr:sp macro="" textlink="">
      <xdr:nvSpPr>
        <xdr:cNvPr id="3" name="Text Box 110"/>
        <xdr:cNvSpPr txBox="1">
          <a:spLocks noChangeArrowheads="1"/>
        </xdr:cNvSpPr>
      </xdr:nvSpPr>
      <xdr:spPr bwMode="auto">
        <a:xfrm>
          <a:off x="2190750" y="50006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276225</xdr:colOff>
      <xdr:row>39</xdr:row>
      <xdr:rowOff>76200</xdr:rowOff>
    </xdr:from>
    <xdr:to>
      <xdr:col>12</xdr:col>
      <xdr:colOff>428625</xdr:colOff>
      <xdr:row>40</xdr:row>
      <xdr:rowOff>76200</xdr:rowOff>
    </xdr:to>
    <xdr:sp macro="" textlink="">
      <xdr:nvSpPr>
        <xdr:cNvPr id="4" name="Text Box 112"/>
        <xdr:cNvSpPr txBox="1">
          <a:spLocks noChangeArrowheads="1"/>
        </xdr:cNvSpPr>
      </xdr:nvSpPr>
      <xdr:spPr bwMode="auto">
        <a:xfrm>
          <a:off x="2847975" y="58483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15</xdr:col>
      <xdr:colOff>600075</xdr:colOff>
      <xdr:row>33</xdr:row>
      <xdr:rowOff>114300</xdr:rowOff>
    </xdr:from>
    <xdr:to>
      <xdr:col>15</xdr:col>
      <xdr:colOff>752475</xdr:colOff>
      <xdr:row>34</xdr:row>
      <xdr:rowOff>114300</xdr:rowOff>
    </xdr:to>
    <xdr:sp macro="" textlink="">
      <xdr:nvSpPr>
        <xdr:cNvPr id="5" name="Text Box 113"/>
        <xdr:cNvSpPr txBox="1">
          <a:spLocks noChangeArrowheads="1"/>
        </xdr:cNvSpPr>
      </xdr:nvSpPr>
      <xdr:spPr bwMode="auto">
        <a:xfrm>
          <a:off x="3505200" y="46863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13</xdr:col>
      <xdr:colOff>295275</xdr:colOff>
      <xdr:row>39</xdr:row>
      <xdr:rowOff>123825</xdr:rowOff>
    </xdr:from>
    <xdr:to>
      <xdr:col>13</xdr:col>
      <xdr:colOff>447675</xdr:colOff>
      <xdr:row>40</xdr:row>
      <xdr:rowOff>123825</xdr:rowOff>
    </xdr:to>
    <xdr:sp macro="" textlink="">
      <xdr:nvSpPr>
        <xdr:cNvPr id="6" name="Text Box 114"/>
        <xdr:cNvSpPr txBox="1">
          <a:spLocks noChangeArrowheads="1"/>
        </xdr:cNvSpPr>
      </xdr:nvSpPr>
      <xdr:spPr bwMode="auto">
        <a:xfrm>
          <a:off x="3067050" y="58959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11</xdr:col>
      <xdr:colOff>381000</xdr:colOff>
      <xdr:row>39</xdr:row>
      <xdr:rowOff>104775</xdr:rowOff>
    </xdr:from>
    <xdr:to>
      <xdr:col>11</xdr:col>
      <xdr:colOff>533400</xdr:colOff>
      <xdr:row>40</xdr:row>
      <xdr:rowOff>104775</xdr:rowOff>
    </xdr:to>
    <xdr:sp macro="" textlink="">
      <xdr:nvSpPr>
        <xdr:cNvPr id="7" name="Text Box 115"/>
        <xdr:cNvSpPr txBox="1">
          <a:spLocks noChangeArrowheads="1"/>
        </xdr:cNvSpPr>
      </xdr:nvSpPr>
      <xdr:spPr bwMode="auto">
        <a:xfrm>
          <a:off x="2628900" y="58769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9525</xdr:colOff>
      <xdr:row>31</xdr:row>
      <xdr:rowOff>0</xdr:rowOff>
    </xdr:from>
    <xdr:to>
      <xdr:col>15</xdr:col>
      <xdr:colOff>9525</xdr:colOff>
      <xdr:row>40</xdr:row>
      <xdr:rowOff>0</xdr:rowOff>
    </xdr:to>
    <xdr:sp macro="" textlink="">
      <xdr:nvSpPr>
        <xdr:cNvPr id="2116299" name="Line 142"/>
        <xdr:cNvSpPr>
          <a:spLocks noChangeShapeType="1"/>
        </xdr:cNvSpPr>
      </xdr:nvSpPr>
      <xdr:spPr bwMode="auto">
        <a:xfrm flipH="1">
          <a:off x="2638425" y="4171950"/>
          <a:ext cx="657225" cy="18002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214311</xdr:colOff>
      <xdr:row>40</xdr:row>
      <xdr:rowOff>178593</xdr:rowOff>
    </xdr:from>
    <xdr:to>
      <xdr:col>14</xdr:col>
      <xdr:colOff>192880</xdr:colOff>
      <xdr:row>40</xdr:row>
      <xdr:rowOff>190501</xdr:rowOff>
    </xdr:to>
    <xdr:cxnSp macro="">
      <xdr:nvCxnSpPr>
        <xdr:cNvPr id="2116301" name="AutoShape 161"/>
        <xdr:cNvCxnSpPr>
          <a:cxnSpLocks noChangeShapeType="1"/>
        </xdr:cNvCxnSpPr>
      </xdr:nvCxnSpPr>
      <xdr:spPr bwMode="auto">
        <a:xfrm>
          <a:off x="2637233" y="6203156"/>
          <a:ext cx="704850" cy="11908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200025</xdr:colOff>
      <xdr:row>44</xdr:row>
      <xdr:rowOff>0</xdr:rowOff>
    </xdr:from>
    <xdr:to>
      <xdr:col>21</xdr:col>
      <xdr:colOff>200025</xdr:colOff>
      <xdr:row>44</xdr:row>
      <xdr:rowOff>9525</xdr:rowOff>
    </xdr:to>
    <xdr:cxnSp macro="">
      <xdr:nvCxnSpPr>
        <xdr:cNvPr id="2116302" name="AutoShape 164"/>
        <xdr:cNvCxnSpPr>
          <a:cxnSpLocks noChangeShapeType="1"/>
        </xdr:cNvCxnSpPr>
      </xdr:nvCxnSpPr>
      <xdr:spPr bwMode="auto">
        <a:xfrm flipV="1">
          <a:off x="1952625" y="6734175"/>
          <a:ext cx="2847975" cy="9525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41</xdr:row>
      <xdr:rowOff>0</xdr:rowOff>
    </xdr:from>
    <xdr:to>
      <xdr:col>11</xdr:col>
      <xdr:colOff>209550</xdr:colOff>
      <xdr:row>41</xdr:row>
      <xdr:rowOff>0</xdr:rowOff>
    </xdr:to>
    <xdr:cxnSp macro="">
      <xdr:nvCxnSpPr>
        <xdr:cNvPr id="2116303" name="AutoShape 169"/>
        <xdr:cNvCxnSpPr>
          <a:cxnSpLocks noChangeShapeType="1"/>
        </xdr:cNvCxnSpPr>
      </xdr:nvCxnSpPr>
      <xdr:spPr bwMode="auto">
        <a:xfrm>
          <a:off x="1981200" y="6172200"/>
          <a:ext cx="638175" cy="0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47625</xdr:colOff>
      <xdr:row>26</xdr:row>
      <xdr:rowOff>152400</xdr:rowOff>
    </xdr:from>
    <xdr:to>
      <xdr:col>11</xdr:col>
      <xdr:colOff>57150</xdr:colOff>
      <xdr:row>29</xdr:row>
      <xdr:rowOff>180975</xdr:rowOff>
    </xdr:to>
    <xdr:cxnSp macro="">
      <xdr:nvCxnSpPr>
        <xdr:cNvPr id="2116304" name="AutoShape 172"/>
        <xdr:cNvCxnSpPr>
          <a:cxnSpLocks noChangeShapeType="1"/>
        </xdr:cNvCxnSpPr>
      </xdr:nvCxnSpPr>
      <xdr:spPr bwMode="auto">
        <a:xfrm rot="16200000" flipH="1">
          <a:off x="2166938" y="3776662"/>
          <a:ext cx="590550" cy="9525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40</xdr:row>
      <xdr:rowOff>0</xdr:rowOff>
    </xdr:from>
    <xdr:to>
      <xdr:col>7</xdr:col>
      <xdr:colOff>161925</xdr:colOff>
      <xdr:row>43</xdr:row>
      <xdr:rowOff>9525</xdr:rowOff>
    </xdr:to>
    <xdr:cxnSp macro="">
      <xdr:nvCxnSpPr>
        <xdr:cNvPr id="2116305" name="AutoShape 174"/>
        <xdr:cNvCxnSpPr>
          <a:cxnSpLocks noChangeShapeType="1"/>
        </xdr:cNvCxnSpPr>
      </xdr:nvCxnSpPr>
      <xdr:spPr bwMode="auto">
        <a:xfrm rot="16200000" flipH="1">
          <a:off x="1385888" y="6272212"/>
          <a:ext cx="609600" cy="9525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95250</xdr:colOff>
      <xdr:row>27</xdr:row>
      <xdr:rowOff>9525</xdr:rowOff>
    </xdr:from>
    <xdr:to>
      <xdr:col>7</xdr:col>
      <xdr:colOff>95250</xdr:colOff>
      <xdr:row>30</xdr:row>
      <xdr:rowOff>66675</xdr:rowOff>
    </xdr:to>
    <xdr:cxnSp macro="">
      <xdr:nvCxnSpPr>
        <xdr:cNvPr id="2116306" name="AutoShape 175"/>
        <xdr:cNvCxnSpPr>
          <a:cxnSpLocks noChangeShapeType="1"/>
        </xdr:cNvCxnSpPr>
      </xdr:nvCxnSpPr>
      <xdr:spPr bwMode="auto">
        <a:xfrm rot="5400000">
          <a:off x="1300162" y="3833813"/>
          <a:ext cx="657225" cy="0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114300</xdr:colOff>
      <xdr:row>27</xdr:row>
      <xdr:rowOff>0</xdr:rowOff>
    </xdr:from>
    <xdr:to>
      <xdr:col>4</xdr:col>
      <xdr:colOff>114300</xdr:colOff>
      <xdr:row>42</xdr:row>
      <xdr:rowOff>238125</xdr:rowOff>
    </xdr:to>
    <xdr:cxnSp macro="">
      <xdr:nvCxnSpPr>
        <xdr:cNvPr id="2116308" name="AutoShape 179"/>
        <xdr:cNvCxnSpPr>
          <a:cxnSpLocks noChangeShapeType="1"/>
        </xdr:cNvCxnSpPr>
      </xdr:nvCxnSpPr>
      <xdr:spPr bwMode="auto">
        <a:xfrm>
          <a:off x="990600" y="3495675"/>
          <a:ext cx="0" cy="3076575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95250</xdr:colOff>
      <xdr:row>31</xdr:row>
      <xdr:rowOff>9525</xdr:rowOff>
    </xdr:from>
    <xdr:to>
      <xdr:col>25</xdr:col>
      <xdr:colOff>104775</xdr:colOff>
      <xdr:row>40</xdr:row>
      <xdr:rowOff>0</xdr:rowOff>
    </xdr:to>
    <xdr:cxnSp macro="">
      <xdr:nvCxnSpPr>
        <xdr:cNvPr id="2116309" name="AutoShape 180"/>
        <xdr:cNvCxnSpPr>
          <a:cxnSpLocks noChangeShapeType="1"/>
        </xdr:cNvCxnSpPr>
      </xdr:nvCxnSpPr>
      <xdr:spPr bwMode="auto">
        <a:xfrm rot="16200000" flipH="1">
          <a:off x="4672013" y="5072062"/>
          <a:ext cx="1790700" cy="9525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9525</xdr:colOff>
      <xdr:row>25</xdr:row>
      <xdr:rowOff>95250</xdr:rowOff>
    </xdr:from>
    <xdr:to>
      <xdr:col>19</xdr:col>
      <xdr:colOff>9525</xdr:colOff>
      <xdr:row>25</xdr:row>
      <xdr:rowOff>95250</xdr:rowOff>
    </xdr:to>
    <xdr:cxnSp macro="">
      <xdr:nvCxnSpPr>
        <xdr:cNvPr id="2116311" name="AutoShape 182"/>
        <xdr:cNvCxnSpPr>
          <a:cxnSpLocks noChangeShapeType="1"/>
        </xdr:cNvCxnSpPr>
      </xdr:nvCxnSpPr>
      <xdr:spPr bwMode="auto">
        <a:xfrm>
          <a:off x="3952875" y="3267075"/>
          <a:ext cx="219075" cy="0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9525</xdr:colOff>
      <xdr:row>26</xdr:row>
      <xdr:rowOff>142875</xdr:rowOff>
    </xdr:from>
    <xdr:to>
      <xdr:col>17</xdr:col>
      <xdr:colOff>180975</xdr:colOff>
      <xdr:row>27</xdr:row>
      <xdr:rowOff>95250</xdr:rowOff>
    </xdr:to>
    <xdr:sp macro="" textlink="">
      <xdr:nvSpPr>
        <xdr:cNvPr id="2116312" name="Rectangle 361"/>
        <xdr:cNvSpPr>
          <a:spLocks noChangeArrowheads="1"/>
        </xdr:cNvSpPr>
      </xdr:nvSpPr>
      <xdr:spPr bwMode="auto">
        <a:xfrm>
          <a:off x="2638425" y="3476625"/>
          <a:ext cx="1266825" cy="11430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27</xdr:row>
      <xdr:rowOff>114300</xdr:rowOff>
    </xdr:from>
    <xdr:to>
      <xdr:col>17</xdr:col>
      <xdr:colOff>180975</xdr:colOff>
      <xdr:row>30</xdr:row>
      <xdr:rowOff>9525</xdr:rowOff>
    </xdr:to>
    <xdr:sp macro="" textlink="">
      <xdr:nvSpPr>
        <xdr:cNvPr id="2116313" name="Rectangle 340"/>
        <xdr:cNvSpPr>
          <a:spLocks noChangeArrowheads="1"/>
        </xdr:cNvSpPr>
      </xdr:nvSpPr>
      <xdr:spPr bwMode="auto">
        <a:xfrm>
          <a:off x="2628900" y="3609975"/>
          <a:ext cx="1276350" cy="49530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30</xdr:row>
      <xdr:rowOff>9525</xdr:rowOff>
    </xdr:from>
    <xdr:to>
      <xdr:col>17</xdr:col>
      <xdr:colOff>142875</xdr:colOff>
      <xdr:row>31</xdr:row>
      <xdr:rowOff>0</xdr:rowOff>
    </xdr:to>
    <xdr:sp macro="" textlink="">
      <xdr:nvSpPr>
        <xdr:cNvPr id="2116314" name="Rectangle 361"/>
        <xdr:cNvSpPr>
          <a:spLocks noChangeArrowheads="1"/>
        </xdr:cNvSpPr>
      </xdr:nvSpPr>
      <xdr:spPr bwMode="auto">
        <a:xfrm>
          <a:off x="3571875" y="4105275"/>
          <a:ext cx="295275" cy="6667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31</xdr:row>
      <xdr:rowOff>0</xdr:rowOff>
    </xdr:from>
    <xdr:to>
      <xdr:col>20</xdr:col>
      <xdr:colOff>1588</xdr:colOff>
      <xdr:row>31</xdr:row>
      <xdr:rowOff>100012</xdr:rowOff>
    </xdr:to>
    <xdr:cxnSp macro="">
      <xdr:nvCxnSpPr>
        <xdr:cNvPr id="28" name="27 Conector recto de flecha"/>
        <xdr:cNvCxnSpPr/>
      </xdr:nvCxnSpPr>
      <xdr:spPr>
        <a:xfrm rot="16200000" flipV="1">
          <a:off x="4332288" y="4221162"/>
          <a:ext cx="100012" cy="1588"/>
        </a:xfrm>
        <a:prstGeom prst="straightConnector1">
          <a:avLst/>
        </a:prstGeom>
        <a:ln w="3175">
          <a:headEnd type="none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29</xdr:row>
      <xdr:rowOff>142875</xdr:rowOff>
    </xdr:from>
    <xdr:to>
      <xdr:col>20</xdr:col>
      <xdr:colOff>1588</xdr:colOff>
      <xdr:row>29</xdr:row>
      <xdr:rowOff>242887</xdr:rowOff>
    </xdr:to>
    <xdr:cxnSp macro="">
      <xdr:nvCxnSpPr>
        <xdr:cNvPr id="30" name="29 Conector recto de flecha"/>
        <xdr:cNvCxnSpPr/>
      </xdr:nvCxnSpPr>
      <xdr:spPr>
        <a:xfrm rot="5400000">
          <a:off x="5656263" y="4068762"/>
          <a:ext cx="61912" cy="1588"/>
        </a:xfrm>
        <a:prstGeom prst="straightConnector1">
          <a:avLst/>
        </a:prstGeom>
        <a:ln w="3175">
          <a:headEnd type="none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533400</xdr:colOff>
      <xdr:row>184</xdr:row>
      <xdr:rowOff>19050</xdr:rowOff>
    </xdr:from>
    <xdr:to>
      <xdr:col>11</xdr:col>
      <xdr:colOff>409575</xdr:colOff>
      <xdr:row>184</xdr:row>
      <xdr:rowOff>152400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2628900" y="249269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14288</xdr:colOff>
      <xdr:row>106</xdr:row>
      <xdr:rowOff>0</xdr:rowOff>
    </xdr:from>
    <xdr:to>
      <xdr:col>17</xdr:col>
      <xdr:colOff>19050</xdr:colOff>
      <xdr:row>106</xdr:row>
      <xdr:rowOff>1</xdr:rowOff>
    </xdr:to>
    <xdr:cxnSp macro="">
      <xdr:nvCxnSpPr>
        <xdr:cNvPr id="112" name="111 Conector recto"/>
        <xdr:cNvCxnSpPr/>
      </xdr:nvCxnSpPr>
      <xdr:spPr>
        <a:xfrm flipV="1">
          <a:off x="2424113" y="15430500"/>
          <a:ext cx="1319212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106</xdr:row>
      <xdr:rowOff>1</xdr:rowOff>
    </xdr:from>
    <xdr:to>
      <xdr:col>11</xdr:col>
      <xdr:colOff>19050</xdr:colOff>
      <xdr:row>107</xdr:row>
      <xdr:rowOff>128588</xdr:rowOff>
    </xdr:to>
    <xdr:cxnSp macro="">
      <xdr:nvCxnSpPr>
        <xdr:cNvPr id="113" name="112 Conector recto"/>
        <xdr:cNvCxnSpPr/>
      </xdr:nvCxnSpPr>
      <xdr:spPr>
        <a:xfrm rot="5400000">
          <a:off x="2278856" y="15523370"/>
          <a:ext cx="242887" cy="57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157163</xdr:colOff>
      <xdr:row>107</xdr:row>
      <xdr:rowOff>33340</xdr:rowOff>
    </xdr:from>
    <xdr:to>
      <xdr:col>10</xdr:col>
      <xdr:colOff>180975</xdr:colOff>
      <xdr:row>107</xdr:row>
      <xdr:rowOff>133353</xdr:rowOff>
    </xdr:to>
    <xdr:cxnSp macro="">
      <xdr:nvCxnSpPr>
        <xdr:cNvPr id="114" name="113 Conector recto"/>
        <xdr:cNvCxnSpPr/>
      </xdr:nvCxnSpPr>
      <xdr:spPr>
        <a:xfrm rot="16200000" flipV="1">
          <a:off x="2314575" y="15621003"/>
          <a:ext cx="90488" cy="238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106</xdr:row>
      <xdr:rowOff>9525</xdr:rowOff>
    </xdr:from>
    <xdr:to>
      <xdr:col>17</xdr:col>
      <xdr:colOff>104775</xdr:colOff>
      <xdr:row>107</xdr:row>
      <xdr:rowOff>142875</xdr:rowOff>
    </xdr:to>
    <xdr:sp macro="" textlink="">
      <xdr:nvSpPr>
        <xdr:cNvPr id="2116326" name="AutoShape 7"/>
        <xdr:cNvSpPr>
          <a:spLocks noChangeArrowheads="1"/>
        </xdr:cNvSpPr>
      </xdr:nvSpPr>
      <xdr:spPr bwMode="auto">
        <a:xfrm>
          <a:off x="1971675" y="15440025"/>
          <a:ext cx="1857375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52387</xdr:colOff>
      <xdr:row>105</xdr:row>
      <xdr:rowOff>85725</xdr:rowOff>
    </xdr:from>
    <xdr:ext cx="256160" cy="173445"/>
    <xdr:sp macro="" textlink="">
      <xdr:nvSpPr>
        <xdr:cNvPr id="116" name="115 CuadroTexto"/>
        <xdr:cNvSpPr txBox="1"/>
      </xdr:nvSpPr>
      <xdr:spPr>
        <a:xfrm>
          <a:off x="3776662" y="15392400"/>
          <a:ext cx="256160" cy="17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PE" sz="550">
              <a:latin typeface="Arial" pitchFamily="34" charset="0"/>
              <a:cs typeface="Arial" pitchFamily="34" charset="0"/>
            </a:rPr>
            <a:t>2</a:t>
          </a:r>
        </a:p>
      </xdr:txBody>
    </xdr:sp>
    <xdr:clientData/>
  </xdr:oneCellAnchor>
  <xdr:twoCellAnchor>
    <xdr:from>
      <xdr:col>12</xdr:col>
      <xdr:colOff>38100</xdr:colOff>
      <xdr:row>118</xdr:row>
      <xdr:rowOff>9525</xdr:rowOff>
    </xdr:from>
    <xdr:to>
      <xdr:col>13</xdr:col>
      <xdr:colOff>180975</xdr:colOff>
      <xdr:row>119</xdr:row>
      <xdr:rowOff>0</xdr:rowOff>
    </xdr:to>
    <xdr:sp macro="" textlink="">
      <xdr:nvSpPr>
        <xdr:cNvPr id="2116328" name="AutoShape 7"/>
        <xdr:cNvSpPr>
          <a:spLocks noChangeArrowheads="1"/>
        </xdr:cNvSpPr>
      </xdr:nvSpPr>
      <xdr:spPr bwMode="auto">
        <a:xfrm>
          <a:off x="2667000" y="16925925"/>
          <a:ext cx="361950" cy="123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19050</xdr:colOff>
      <xdr:row>118</xdr:row>
      <xdr:rowOff>19050</xdr:rowOff>
    </xdr:from>
    <xdr:to>
      <xdr:col>15</xdr:col>
      <xdr:colOff>200025</xdr:colOff>
      <xdr:row>119</xdr:row>
      <xdr:rowOff>0</xdr:rowOff>
    </xdr:to>
    <xdr:sp macro="" textlink="">
      <xdr:nvSpPr>
        <xdr:cNvPr id="2116329" name="AutoShape 7"/>
        <xdr:cNvSpPr>
          <a:spLocks noChangeArrowheads="1"/>
        </xdr:cNvSpPr>
      </xdr:nvSpPr>
      <xdr:spPr bwMode="auto">
        <a:xfrm>
          <a:off x="3086100" y="16935450"/>
          <a:ext cx="400050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118</xdr:row>
      <xdr:rowOff>19050</xdr:rowOff>
    </xdr:from>
    <xdr:to>
      <xdr:col>17</xdr:col>
      <xdr:colOff>180975</xdr:colOff>
      <xdr:row>119</xdr:row>
      <xdr:rowOff>0</xdr:rowOff>
    </xdr:to>
    <xdr:sp macro="" textlink="">
      <xdr:nvSpPr>
        <xdr:cNvPr id="2116330" name="AutoShape 7"/>
        <xdr:cNvSpPr>
          <a:spLocks noChangeArrowheads="1"/>
        </xdr:cNvSpPr>
      </xdr:nvSpPr>
      <xdr:spPr bwMode="auto">
        <a:xfrm>
          <a:off x="3543300" y="16935450"/>
          <a:ext cx="361950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119063</xdr:colOff>
      <xdr:row>117</xdr:row>
      <xdr:rowOff>80962</xdr:rowOff>
    </xdr:from>
    <xdr:ext cx="256160" cy="173445"/>
    <xdr:sp macro="" textlink="">
      <xdr:nvSpPr>
        <xdr:cNvPr id="120" name="119 CuadroTexto"/>
        <xdr:cNvSpPr txBox="1"/>
      </xdr:nvSpPr>
      <xdr:spPr>
        <a:xfrm>
          <a:off x="3843338" y="16873537"/>
          <a:ext cx="256160" cy="17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PE" sz="550">
              <a:latin typeface="Arial" pitchFamily="34" charset="0"/>
              <a:cs typeface="Arial" pitchFamily="34" charset="0"/>
            </a:rPr>
            <a:t>2</a:t>
          </a:r>
        </a:p>
      </xdr:txBody>
    </xdr:sp>
    <xdr:clientData/>
  </xdr:oneCellAnchor>
  <xdr:twoCellAnchor>
    <xdr:from>
      <xdr:col>14</xdr:col>
      <xdr:colOff>14288</xdr:colOff>
      <xdr:row>130</xdr:row>
      <xdr:rowOff>0</xdr:rowOff>
    </xdr:from>
    <xdr:to>
      <xdr:col>20</xdr:col>
      <xdr:colOff>19050</xdr:colOff>
      <xdr:row>130</xdr:row>
      <xdr:rowOff>1</xdr:rowOff>
    </xdr:to>
    <xdr:cxnSp macro="">
      <xdr:nvCxnSpPr>
        <xdr:cNvPr id="121" name="120 Conector recto"/>
        <xdr:cNvCxnSpPr/>
      </xdr:nvCxnSpPr>
      <xdr:spPr>
        <a:xfrm flipV="1">
          <a:off x="3081338" y="18430875"/>
          <a:ext cx="1319212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130</xdr:row>
      <xdr:rowOff>1</xdr:rowOff>
    </xdr:from>
    <xdr:to>
      <xdr:col>14</xdr:col>
      <xdr:colOff>19050</xdr:colOff>
      <xdr:row>131</xdr:row>
      <xdr:rowOff>128588</xdr:rowOff>
    </xdr:to>
    <xdr:cxnSp macro="">
      <xdr:nvCxnSpPr>
        <xdr:cNvPr id="122" name="121 Conector recto"/>
        <xdr:cNvCxnSpPr/>
      </xdr:nvCxnSpPr>
      <xdr:spPr>
        <a:xfrm rot="5400000">
          <a:off x="2926556" y="18533270"/>
          <a:ext cx="261937" cy="57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157163</xdr:colOff>
      <xdr:row>131</xdr:row>
      <xdr:rowOff>33340</xdr:rowOff>
    </xdr:from>
    <xdr:to>
      <xdr:col>13</xdr:col>
      <xdr:colOff>180975</xdr:colOff>
      <xdr:row>131</xdr:row>
      <xdr:rowOff>133353</xdr:rowOff>
    </xdr:to>
    <xdr:cxnSp macro="">
      <xdr:nvCxnSpPr>
        <xdr:cNvPr id="123" name="122 Conector recto"/>
        <xdr:cNvCxnSpPr/>
      </xdr:nvCxnSpPr>
      <xdr:spPr>
        <a:xfrm rot="16200000" flipV="1">
          <a:off x="2971800" y="18640428"/>
          <a:ext cx="90488" cy="238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130</xdr:row>
      <xdr:rowOff>9525</xdr:rowOff>
    </xdr:from>
    <xdr:to>
      <xdr:col>20</xdr:col>
      <xdr:colOff>104775</xdr:colOff>
      <xdr:row>131</xdr:row>
      <xdr:rowOff>142875</xdr:rowOff>
    </xdr:to>
    <xdr:sp macro="" textlink="">
      <xdr:nvSpPr>
        <xdr:cNvPr id="2116335" name="AutoShape 7"/>
        <xdr:cNvSpPr>
          <a:spLocks noChangeArrowheads="1"/>
        </xdr:cNvSpPr>
      </xdr:nvSpPr>
      <xdr:spPr bwMode="auto">
        <a:xfrm>
          <a:off x="2628900" y="18440400"/>
          <a:ext cx="185737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57150</xdr:colOff>
      <xdr:row>129</xdr:row>
      <xdr:rowOff>80963</xdr:rowOff>
    </xdr:from>
    <xdr:ext cx="256160" cy="173445"/>
    <xdr:sp macro="" textlink="">
      <xdr:nvSpPr>
        <xdr:cNvPr id="125" name="124 CuadroTexto"/>
        <xdr:cNvSpPr txBox="1"/>
      </xdr:nvSpPr>
      <xdr:spPr>
        <a:xfrm>
          <a:off x="4438650" y="18368963"/>
          <a:ext cx="256160" cy="17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PE" sz="550">
              <a:latin typeface="Arial" pitchFamily="34" charset="0"/>
              <a:cs typeface="Arial" pitchFamily="34" charset="0"/>
            </a:rPr>
            <a:t>2</a:t>
          </a:r>
        </a:p>
      </xdr:txBody>
    </xdr:sp>
    <xdr:clientData/>
  </xdr:oneCellAnchor>
  <xdr:twoCellAnchor>
    <xdr:from>
      <xdr:col>14</xdr:col>
      <xdr:colOff>38100</xdr:colOff>
      <xdr:row>143</xdr:row>
      <xdr:rowOff>9525</xdr:rowOff>
    </xdr:from>
    <xdr:to>
      <xdr:col>15</xdr:col>
      <xdr:colOff>180975</xdr:colOff>
      <xdr:row>144</xdr:row>
      <xdr:rowOff>0</xdr:rowOff>
    </xdr:to>
    <xdr:sp macro="" textlink="">
      <xdr:nvSpPr>
        <xdr:cNvPr id="2116337" name="AutoShape 7"/>
        <xdr:cNvSpPr>
          <a:spLocks noChangeArrowheads="1"/>
        </xdr:cNvSpPr>
      </xdr:nvSpPr>
      <xdr:spPr bwMode="auto">
        <a:xfrm>
          <a:off x="3105150" y="20069175"/>
          <a:ext cx="361950" cy="133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19050</xdr:colOff>
      <xdr:row>143</xdr:row>
      <xdr:rowOff>9525</xdr:rowOff>
    </xdr:from>
    <xdr:to>
      <xdr:col>17</xdr:col>
      <xdr:colOff>200025</xdr:colOff>
      <xdr:row>144</xdr:row>
      <xdr:rowOff>0</xdr:rowOff>
    </xdr:to>
    <xdr:sp macro="" textlink="">
      <xdr:nvSpPr>
        <xdr:cNvPr id="2116338" name="AutoShape 7"/>
        <xdr:cNvSpPr>
          <a:spLocks noChangeArrowheads="1"/>
        </xdr:cNvSpPr>
      </xdr:nvSpPr>
      <xdr:spPr bwMode="auto">
        <a:xfrm>
          <a:off x="3524250" y="20069175"/>
          <a:ext cx="400050" cy="133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38100</xdr:colOff>
      <xdr:row>143</xdr:row>
      <xdr:rowOff>9525</xdr:rowOff>
    </xdr:from>
    <xdr:to>
      <xdr:col>19</xdr:col>
      <xdr:colOff>180975</xdr:colOff>
      <xdr:row>144</xdr:row>
      <xdr:rowOff>0</xdr:rowOff>
    </xdr:to>
    <xdr:sp macro="" textlink="">
      <xdr:nvSpPr>
        <xdr:cNvPr id="2116339" name="AutoShape 7"/>
        <xdr:cNvSpPr>
          <a:spLocks noChangeArrowheads="1"/>
        </xdr:cNvSpPr>
      </xdr:nvSpPr>
      <xdr:spPr bwMode="auto">
        <a:xfrm>
          <a:off x="3981450" y="20069175"/>
          <a:ext cx="361950" cy="133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100012</xdr:colOff>
      <xdr:row>142</xdr:row>
      <xdr:rowOff>71437</xdr:rowOff>
    </xdr:from>
    <xdr:ext cx="256160" cy="173445"/>
    <xdr:sp macro="" textlink="">
      <xdr:nvSpPr>
        <xdr:cNvPr id="129" name="128 CuadroTexto"/>
        <xdr:cNvSpPr txBox="1"/>
      </xdr:nvSpPr>
      <xdr:spPr>
        <a:xfrm>
          <a:off x="4262437" y="20007262"/>
          <a:ext cx="256160" cy="17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PE" sz="550">
              <a:latin typeface="Arial" pitchFamily="34" charset="0"/>
              <a:cs typeface="Arial" pitchFamily="34" charset="0"/>
            </a:rPr>
            <a:t>2</a:t>
          </a:r>
        </a:p>
      </xdr:txBody>
    </xdr:sp>
    <xdr:clientData/>
  </xdr:oneCellAnchor>
  <xdr:twoCellAnchor>
    <xdr:from>
      <xdr:col>20</xdr:col>
      <xdr:colOff>66675</xdr:colOff>
      <xdr:row>143</xdr:row>
      <xdr:rowOff>9525</xdr:rowOff>
    </xdr:from>
    <xdr:to>
      <xdr:col>23</xdr:col>
      <xdr:colOff>190500</xdr:colOff>
      <xdr:row>144</xdr:row>
      <xdr:rowOff>0</xdr:rowOff>
    </xdr:to>
    <xdr:sp macro="" textlink="">
      <xdr:nvSpPr>
        <xdr:cNvPr id="2116341" name="AutoShape 7"/>
        <xdr:cNvSpPr>
          <a:spLocks noChangeArrowheads="1"/>
        </xdr:cNvSpPr>
      </xdr:nvSpPr>
      <xdr:spPr bwMode="auto">
        <a:xfrm>
          <a:off x="4448175" y="20069175"/>
          <a:ext cx="781050" cy="133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149</xdr:row>
      <xdr:rowOff>9525</xdr:rowOff>
    </xdr:from>
    <xdr:to>
      <xdr:col>10</xdr:col>
      <xdr:colOff>200025</xdr:colOff>
      <xdr:row>150</xdr:row>
      <xdr:rowOff>0</xdr:rowOff>
    </xdr:to>
    <xdr:sp macro="" textlink="">
      <xdr:nvSpPr>
        <xdr:cNvPr id="2116342" name="AutoShape 7"/>
        <xdr:cNvSpPr>
          <a:spLocks noChangeArrowheads="1"/>
        </xdr:cNvSpPr>
      </xdr:nvSpPr>
      <xdr:spPr bwMode="auto">
        <a:xfrm>
          <a:off x="2028825" y="20831175"/>
          <a:ext cx="361950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149</xdr:row>
      <xdr:rowOff>9525</xdr:rowOff>
    </xdr:from>
    <xdr:to>
      <xdr:col>8</xdr:col>
      <xdr:colOff>190500</xdr:colOff>
      <xdr:row>150</xdr:row>
      <xdr:rowOff>0</xdr:rowOff>
    </xdr:to>
    <xdr:sp macro="" textlink="">
      <xdr:nvSpPr>
        <xdr:cNvPr id="2116343" name="AutoShape 7"/>
        <xdr:cNvSpPr>
          <a:spLocks noChangeArrowheads="1"/>
        </xdr:cNvSpPr>
      </xdr:nvSpPr>
      <xdr:spPr bwMode="auto">
        <a:xfrm>
          <a:off x="1590675" y="20831175"/>
          <a:ext cx="352425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151</xdr:row>
      <xdr:rowOff>19050</xdr:rowOff>
    </xdr:from>
    <xdr:to>
      <xdr:col>12</xdr:col>
      <xdr:colOff>171450</xdr:colOff>
      <xdr:row>152</xdr:row>
      <xdr:rowOff>0</xdr:rowOff>
    </xdr:to>
    <xdr:sp macro="" textlink="">
      <xdr:nvSpPr>
        <xdr:cNvPr id="2116344" name="AutoShape 7"/>
        <xdr:cNvSpPr>
          <a:spLocks noChangeArrowheads="1"/>
        </xdr:cNvSpPr>
      </xdr:nvSpPr>
      <xdr:spPr bwMode="auto">
        <a:xfrm>
          <a:off x="2438400" y="21088350"/>
          <a:ext cx="361950" cy="104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151</xdr:row>
      <xdr:rowOff>19050</xdr:rowOff>
    </xdr:from>
    <xdr:to>
      <xdr:col>10</xdr:col>
      <xdr:colOff>180975</xdr:colOff>
      <xdr:row>152</xdr:row>
      <xdr:rowOff>0</xdr:rowOff>
    </xdr:to>
    <xdr:sp macro="" textlink="">
      <xdr:nvSpPr>
        <xdr:cNvPr id="2116345" name="AutoShape 7"/>
        <xdr:cNvSpPr>
          <a:spLocks noChangeArrowheads="1"/>
        </xdr:cNvSpPr>
      </xdr:nvSpPr>
      <xdr:spPr bwMode="auto">
        <a:xfrm>
          <a:off x="2009775" y="21088350"/>
          <a:ext cx="361950" cy="104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151</xdr:row>
      <xdr:rowOff>19050</xdr:rowOff>
    </xdr:from>
    <xdr:to>
      <xdr:col>8</xdr:col>
      <xdr:colOff>209550</xdr:colOff>
      <xdr:row>152</xdr:row>
      <xdr:rowOff>0</xdr:rowOff>
    </xdr:to>
    <xdr:sp macro="" textlink="">
      <xdr:nvSpPr>
        <xdr:cNvPr id="2116346" name="AutoShape 7"/>
        <xdr:cNvSpPr>
          <a:spLocks noChangeArrowheads="1"/>
        </xdr:cNvSpPr>
      </xdr:nvSpPr>
      <xdr:spPr bwMode="auto">
        <a:xfrm>
          <a:off x="1562100" y="21088350"/>
          <a:ext cx="400050" cy="104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153</xdr:row>
      <xdr:rowOff>9525</xdr:rowOff>
    </xdr:from>
    <xdr:to>
      <xdr:col>14</xdr:col>
      <xdr:colOff>180975</xdr:colOff>
      <xdr:row>154</xdr:row>
      <xdr:rowOff>0</xdr:rowOff>
    </xdr:to>
    <xdr:sp macro="" textlink="">
      <xdr:nvSpPr>
        <xdr:cNvPr id="2116347" name="AutoShape 7"/>
        <xdr:cNvSpPr>
          <a:spLocks noChangeArrowheads="1"/>
        </xdr:cNvSpPr>
      </xdr:nvSpPr>
      <xdr:spPr bwMode="auto">
        <a:xfrm>
          <a:off x="2886075" y="21326475"/>
          <a:ext cx="361950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153</xdr:row>
      <xdr:rowOff>9525</xdr:rowOff>
    </xdr:from>
    <xdr:to>
      <xdr:col>12</xdr:col>
      <xdr:colOff>190500</xdr:colOff>
      <xdr:row>154</xdr:row>
      <xdr:rowOff>0</xdr:rowOff>
    </xdr:to>
    <xdr:sp macro="" textlink="">
      <xdr:nvSpPr>
        <xdr:cNvPr id="2116348" name="AutoShape 7"/>
        <xdr:cNvSpPr>
          <a:spLocks noChangeArrowheads="1"/>
        </xdr:cNvSpPr>
      </xdr:nvSpPr>
      <xdr:spPr bwMode="auto">
        <a:xfrm>
          <a:off x="2457450" y="21326475"/>
          <a:ext cx="361950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533400</xdr:colOff>
      <xdr:row>185</xdr:row>
      <xdr:rowOff>19050</xdr:rowOff>
    </xdr:from>
    <xdr:to>
      <xdr:col>11</xdr:col>
      <xdr:colOff>409575</xdr:colOff>
      <xdr:row>185</xdr:row>
      <xdr:rowOff>152400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2628900" y="2505075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186</xdr:row>
      <xdr:rowOff>19050</xdr:rowOff>
    </xdr:from>
    <xdr:to>
      <xdr:col>11</xdr:col>
      <xdr:colOff>409575</xdr:colOff>
      <xdr:row>186</xdr:row>
      <xdr:rowOff>152400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2628900" y="251745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12</xdr:col>
      <xdr:colOff>28575</xdr:colOff>
      <xdr:row>186</xdr:row>
      <xdr:rowOff>25619</xdr:rowOff>
    </xdr:from>
    <xdr:to>
      <xdr:col>12</xdr:col>
      <xdr:colOff>28575</xdr:colOff>
      <xdr:row>187</xdr:row>
      <xdr:rowOff>5584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2629885" y="25375257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188</xdr:row>
      <xdr:rowOff>19050</xdr:rowOff>
    </xdr:from>
    <xdr:to>
      <xdr:col>11</xdr:col>
      <xdr:colOff>409575</xdr:colOff>
      <xdr:row>188</xdr:row>
      <xdr:rowOff>152400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628900" y="254222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 editAs="oneCell">
    <xdr:from>
      <xdr:col>7</xdr:col>
      <xdr:colOff>457200</xdr:colOff>
      <xdr:row>275</xdr:row>
      <xdr:rowOff>0</xdr:rowOff>
    </xdr:from>
    <xdr:to>
      <xdr:col>8</xdr:col>
      <xdr:colOff>4598</xdr:colOff>
      <xdr:row>275</xdr:row>
      <xdr:rowOff>0</xdr:rowOff>
    </xdr:to>
    <xdr:sp macro="" textlink="">
      <xdr:nvSpPr>
        <xdr:cNvPr id="2116388" name="Line 650"/>
        <xdr:cNvSpPr>
          <a:spLocks noChangeShapeType="1"/>
        </xdr:cNvSpPr>
      </xdr:nvSpPr>
      <xdr:spPr bwMode="auto">
        <a:xfrm>
          <a:off x="1752600" y="387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0</xdr:colOff>
      <xdr:row>275</xdr:row>
      <xdr:rowOff>0</xdr:rowOff>
    </xdr:from>
    <xdr:to>
      <xdr:col>9</xdr:col>
      <xdr:colOff>0</xdr:colOff>
      <xdr:row>275</xdr:row>
      <xdr:rowOff>0</xdr:rowOff>
    </xdr:to>
    <xdr:sp macro="" textlink="">
      <xdr:nvSpPr>
        <xdr:cNvPr id="2116411" name="Line 34"/>
        <xdr:cNvSpPr>
          <a:spLocks noChangeShapeType="1"/>
        </xdr:cNvSpPr>
      </xdr:nvSpPr>
      <xdr:spPr bwMode="auto">
        <a:xfrm>
          <a:off x="1971675" y="42129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457200</xdr:colOff>
      <xdr:row>275</xdr:row>
      <xdr:rowOff>0</xdr:rowOff>
    </xdr:from>
    <xdr:to>
      <xdr:col>14</xdr:col>
      <xdr:colOff>4598</xdr:colOff>
      <xdr:row>275</xdr:row>
      <xdr:rowOff>0</xdr:rowOff>
    </xdr:to>
    <xdr:sp macro="" textlink="">
      <xdr:nvSpPr>
        <xdr:cNvPr id="2116412" name="Line 186"/>
        <xdr:cNvSpPr>
          <a:spLocks noChangeShapeType="1"/>
        </xdr:cNvSpPr>
      </xdr:nvSpPr>
      <xdr:spPr bwMode="auto">
        <a:xfrm>
          <a:off x="3067050" y="42129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123825</xdr:colOff>
      <xdr:row>275</xdr:row>
      <xdr:rowOff>0</xdr:rowOff>
    </xdr:from>
    <xdr:ext cx="256160" cy="173445"/>
    <xdr:sp macro="" textlink="">
      <xdr:nvSpPr>
        <xdr:cNvPr id="273" name="272 CuadroTexto"/>
        <xdr:cNvSpPr txBox="1"/>
      </xdr:nvSpPr>
      <xdr:spPr>
        <a:xfrm>
          <a:off x="3848100" y="49420462"/>
          <a:ext cx="256160" cy="17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E" sz="55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17</xdr:col>
      <xdr:colOff>109537</xdr:colOff>
      <xdr:row>275</xdr:row>
      <xdr:rowOff>0</xdr:rowOff>
    </xdr:from>
    <xdr:ext cx="256160" cy="173445"/>
    <xdr:sp macro="" textlink="">
      <xdr:nvSpPr>
        <xdr:cNvPr id="302" name="301 CuadroTexto"/>
        <xdr:cNvSpPr txBox="1"/>
      </xdr:nvSpPr>
      <xdr:spPr>
        <a:xfrm>
          <a:off x="3833812" y="55735537"/>
          <a:ext cx="256160" cy="17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E" sz="55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104775</xdr:colOff>
      <xdr:row>275</xdr:row>
      <xdr:rowOff>0</xdr:rowOff>
    </xdr:from>
    <xdr:ext cx="256160" cy="173445"/>
    <xdr:sp macro="" textlink="">
      <xdr:nvSpPr>
        <xdr:cNvPr id="306" name="305 CuadroTexto"/>
        <xdr:cNvSpPr txBox="1"/>
      </xdr:nvSpPr>
      <xdr:spPr>
        <a:xfrm>
          <a:off x="4267200" y="56259413"/>
          <a:ext cx="256160" cy="17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E" sz="55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17</xdr:col>
      <xdr:colOff>123825</xdr:colOff>
      <xdr:row>275</xdr:row>
      <xdr:rowOff>0</xdr:rowOff>
    </xdr:from>
    <xdr:ext cx="256160" cy="173445"/>
    <xdr:sp macro="" textlink="">
      <xdr:nvSpPr>
        <xdr:cNvPr id="322" name="321 CuadroTexto"/>
        <xdr:cNvSpPr txBox="1"/>
      </xdr:nvSpPr>
      <xdr:spPr>
        <a:xfrm>
          <a:off x="3848100" y="60245625"/>
          <a:ext cx="256160" cy="17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E" sz="55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10</xdr:col>
      <xdr:colOff>457200</xdr:colOff>
      <xdr:row>275</xdr:row>
      <xdr:rowOff>0</xdr:rowOff>
    </xdr:from>
    <xdr:to>
      <xdr:col>11</xdr:col>
      <xdr:colOff>4600</xdr:colOff>
      <xdr:row>275</xdr:row>
      <xdr:rowOff>0</xdr:rowOff>
    </xdr:to>
    <xdr:sp macro="" textlink="">
      <xdr:nvSpPr>
        <xdr:cNvPr id="2116417" name="Line 650"/>
        <xdr:cNvSpPr>
          <a:spLocks noChangeShapeType="1"/>
        </xdr:cNvSpPr>
      </xdr:nvSpPr>
      <xdr:spPr bwMode="auto">
        <a:xfrm>
          <a:off x="2409825" y="42129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457200</xdr:colOff>
      <xdr:row>275</xdr:row>
      <xdr:rowOff>0</xdr:rowOff>
    </xdr:from>
    <xdr:to>
      <xdr:col>11</xdr:col>
      <xdr:colOff>4600</xdr:colOff>
      <xdr:row>275</xdr:row>
      <xdr:rowOff>0</xdr:rowOff>
    </xdr:to>
    <xdr:sp macro="" textlink="">
      <xdr:nvSpPr>
        <xdr:cNvPr id="2116418" name="Line 186"/>
        <xdr:cNvSpPr>
          <a:spLocks noChangeShapeType="1"/>
        </xdr:cNvSpPr>
      </xdr:nvSpPr>
      <xdr:spPr bwMode="auto">
        <a:xfrm>
          <a:off x="2409825" y="42129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166688</xdr:colOff>
      <xdr:row>275</xdr:row>
      <xdr:rowOff>0</xdr:rowOff>
    </xdr:from>
    <xdr:ext cx="256160" cy="173445"/>
    <xdr:sp macro="" textlink="">
      <xdr:nvSpPr>
        <xdr:cNvPr id="410" name="409 CuadroTexto"/>
        <xdr:cNvSpPr txBox="1"/>
      </xdr:nvSpPr>
      <xdr:spPr>
        <a:xfrm>
          <a:off x="2795588" y="78700312"/>
          <a:ext cx="256160" cy="17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E" sz="55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10</xdr:col>
      <xdr:colOff>180975</xdr:colOff>
      <xdr:row>275</xdr:row>
      <xdr:rowOff>0</xdr:rowOff>
    </xdr:from>
    <xdr:to>
      <xdr:col>11</xdr:col>
      <xdr:colOff>216776</xdr:colOff>
      <xdr:row>276</xdr:row>
      <xdr:rowOff>9525</xdr:rowOff>
    </xdr:to>
    <xdr:sp macro="" textlink="">
      <xdr:nvSpPr>
        <xdr:cNvPr id="2116420" name="414 CuadroTexto"/>
        <xdr:cNvSpPr txBox="1">
          <a:spLocks noChangeArrowheads="1"/>
        </xdr:cNvSpPr>
      </xdr:nvSpPr>
      <xdr:spPr bwMode="auto">
        <a:xfrm>
          <a:off x="2371725" y="42129075"/>
          <a:ext cx="2571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157163</xdr:colOff>
      <xdr:row>275</xdr:row>
      <xdr:rowOff>0</xdr:rowOff>
    </xdr:from>
    <xdr:ext cx="256160" cy="173445"/>
    <xdr:sp macro="" textlink="">
      <xdr:nvSpPr>
        <xdr:cNvPr id="451" name="450 CuadroTexto"/>
        <xdr:cNvSpPr txBox="1"/>
      </xdr:nvSpPr>
      <xdr:spPr>
        <a:xfrm>
          <a:off x="2786063" y="83286599"/>
          <a:ext cx="256160" cy="17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E" sz="55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10</xdr:col>
      <xdr:colOff>190500</xdr:colOff>
      <xdr:row>275</xdr:row>
      <xdr:rowOff>0</xdr:rowOff>
    </xdr:from>
    <xdr:to>
      <xdr:col>11</xdr:col>
      <xdr:colOff>226301</xdr:colOff>
      <xdr:row>276</xdr:row>
      <xdr:rowOff>9525</xdr:rowOff>
    </xdr:to>
    <xdr:sp macro="" textlink="">
      <xdr:nvSpPr>
        <xdr:cNvPr id="2116422" name="455 CuadroTexto"/>
        <xdr:cNvSpPr txBox="1">
          <a:spLocks noChangeArrowheads="1"/>
        </xdr:cNvSpPr>
      </xdr:nvSpPr>
      <xdr:spPr bwMode="auto">
        <a:xfrm>
          <a:off x="2381250" y="42129075"/>
          <a:ext cx="2571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457200</xdr:colOff>
      <xdr:row>275</xdr:row>
      <xdr:rowOff>0</xdr:rowOff>
    </xdr:from>
    <xdr:to>
      <xdr:col>11</xdr:col>
      <xdr:colOff>4600</xdr:colOff>
      <xdr:row>275</xdr:row>
      <xdr:rowOff>0</xdr:rowOff>
    </xdr:to>
    <xdr:sp macro="" textlink="">
      <xdr:nvSpPr>
        <xdr:cNvPr id="2116423" name="Line 70"/>
        <xdr:cNvSpPr>
          <a:spLocks noChangeShapeType="1"/>
        </xdr:cNvSpPr>
      </xdr:nvSpPr>
      <xdr:spPr bwMode="auto">
        <a:xfrm>
          <a:off x="2409825" y="42129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</xdr:colOff>
      <xdr:row>25</xdr:row>
      <xdr:rowOff>85725</xdr:rowOff>
    </xdr:from>
    <xdr:to>
      <xdr:col>17</xdr:col>
      <xdr:colOff>190500</xdr:colOff>
      <xdr:row>25</xdr:row>
      <xdr:rowOff>85725</xdr:rowOff>
    </xdr:to>
    <xdr:cxnSp macro="">
      <xdr:nvCxnSpPr>
        <xdr:cNvPr id="2116428" name="AutoShape 182"/>
        <xdr:cNvCxnSpPr>
          <a:cxnSpLocks noChangeShapeType="1"/>
        </xdr:cNvCxnSpPr>
      </xdr:nvCxnSpPr>
      <xdr:spPr bwMode="auto">
        <a:xfrm>
          <a:off x="3314700" y="3257550"/>
          <a:ext cx="600075" cy="0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172641</xdr:colOff>
      <xdr:row>40</xdr:row>
      <xdr:rowOff>195264</xdr:rowOff>
    </xdr:from>
    <xdr:to>
      <xdr:col>18</xdr:col>
      <xdr:colOff>23813</xdr:colOff>
      <xdr:row>40</xdr:row>
      <xdr:rowOff>196453</xdr:rowOff>
    </xdr:to>
    <xdr:cxnSp macro="">
      <xdr:nvCxnSpPr>
        <xdr:cNvPr id="2116431" name="AutoShape 157"/>
        <xdr:cNvCxnSpPr>
          <a:cxnSpLocks noChangeShapeType="1"/>
        </xdr:cNvCxnSpPr>
      </xdr:nvCxnSpPr>
      <xdr:spPr bwMode="auto">
        <a:xfrm flipH="1">
          <a:off x="3321844" y="6219827"/>
          <a:ext cx="732235" cy="1189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10</xdr:col>
      <xdr:colOff>457200</xdr:colOff>
      <xdr:row>75</xdr:row>
      <xdr:rowOff>104775</xdr:rowOff>
    </xdr:from>
    <xdr:to>
      <xdr:col>11</xdr:col>
      <xdr:colOff>4600</xdr:colOff>
      <xdr:row>75</xdr:row>
      <xdr:rowOff>104775</xdr:rowOff>
    </xdr:to>
    <xdr:sp macro="" textlink="">
      <xdr:nvSpPr>
        <xdr:cNvPr id="2116432" name="Line 186"/>
        <xdr:cNvSpPr>
          <a:spLocks noChangeShapeType="1"/>
        </xdr:cNvSpPr>
      </xdr:nvSpPr>
      <xdr:spPr bwMode="auto">
        <a:xfrm>
          <a:off x="240982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561975</xdr:colOff>
      <xdr:row>72</xdr:row>
      <xdr:rowOff>28575</xdr:rowOff>
    </xdr:from>
    <xdr:to>
      <xdr:col>9</xdr:col>
      <xdr:colOff>714375</xdr:colOff>
      <xdr:row>73</xdr:row>
      <xdr:rowOff>28575</xdr:rowOff>
    </xdr:to>
    <xdr:sp macro="" textlink="">
      <xdr:nvSpPr>
        <xdr:cNvPr id="738" name="Text Box 187"/>
        <xdr:cNvSpPr txBox="1">
          <a:spLocks noChangeArrowheads="1"/>
        </xdr:cNvSpPr>
      </xdr:nvSpPr>
      <xdr:spPr bwMode="auto">
        <a:xfrm>
          <a:off x="2847975" y="106394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276225</xdr:colOff>
      <xdr:row>76</xdr:row>
      <xdr:rowOff>76200</xdr:rowOff>
    </xdr:from>
    <xdr:to>
      <xdr:col>12</xdr:col>
      <xdr:colOff>428625</xdr:colOff>
      <xdr:row>77</xdr:row>
      <xdr:rowOff>76200</xdr:rowOff>
    </xdr:to>
    <xdr:sp macro="" textlink="">
      <xdr:nvSpPr>
        <xdr:cNvPr id="739" name="Text Box 188"/>
        <xdr:cNvSpPr txBox="1">
          <a:spLocks noChangeArrowheads="1"/>
        </xdr:cNvSpPr>
      </xdr:nvSpPr>
      <xdr:spPr bwMode="auto">
        <a:xfrm>
          <a:off x="3505200" y="114871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15</xdr:col>
      <xdr:colOff>600075</xdr:colOff>
      <xdr:row>70</xdr:row>
      <xdr:rowOff>114300</xdr:rowOff>
    </xdr:from>
    <xdr:to>
      <xdr:col>15</xdr:col>
      <xdr:colOff>752475</xdr:colOff>
      <xdr:row>71</xdr:row>
      <xdr:rowOff>114300</xdr:rowOff>
    </xdr:to>
    <xdr:sp macro="" textlink="">
      <xdr:nvSpPr>
        <xdr:cNvPr id="740" name="Text Box 189"/>
        <xdr:cNvSpPr txBox="1">
          <a:spLocks noChangeArrowheads="1"/>
        </xdr:cNvSpPr>
      </xdr:nvSpPr>
      <xdr:spPr bwMode="auto">
        <a:xfrm>
          <a:off x="4162425" y="103251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13</xdr:col>
      <xdr:colOff>295275</xdr:colOff>
      <xdr:row>76</xdr:row>
      <xdr:rowOff>123825</xdr:rowOff>
    </xdr:from>
    <xdr:to>
      <xdr:col>13</xdr:col>
      <xdr:colOff>447675</xdr:colOff>
      <xdr:row>77</xdr:row>
      <xdr:rowOff>123825</xdr:rowOff>
    </xdr:to>
    <xdr:sp macro="" textlink="">
      <xdr:nvSpPr>
        <xdr:cNvPr id="741" name="Text Box 190"/>
        <xdr:cNvSpPr txBox="1">
          <a:spLocks noChangeArrowheads="1"/>
        </xdr:cNvSpPr>
      </xdr:nvSpPr>
      <xdr:spPr bwMode="auto">
        <a:xfrm>
          <a:off x="3724275" y="115347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11</xdr:col>
      <xdr:colOff>381000</xdr:colOff>
      <xdr:row>76</xdr:row>
      <xdr:rowOff>104775</xdr:rowOff>
    </xdr:from>
    <xdr:to>
      <xdr:col>11</xdr:col>
      <xdr:colOff>533400</xdr:colOff>
      <xdr:row>77</xdr:row>
      <xdr:rowOff>104775</xdr:rowOff>
    </xdr:to>
    <xdr:sp macro="" textlink="">
      <xdr:nvSpPr>
        <xdr:cNvPr id="742" name="Text Box 191"/>
        <xdr:cNvSpPr txBox="1">
          <a:spLocks noChangeArrowheads="1"/>
        </xdr:cNvSpPr>
      </xdr:nvSpPr>
      <xdr:spPr bwMode="auto">
        <a:xfrm>
          <a:off x="3286125" y="115157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9</xdr:col>
      <xdr:colOff>209550</xdr:colOff>
      <xdr:row>67</xdr:row>
      <xdr:rowOff>171450</xdr:rowOff>
    </xdr:from>
    <xdr:to>
      <xdr:col>12</xdr:col>
      <xdr:colOff>219075</xdr:colOff>
      <xdr:row>77</xdr:row>
      <xdr:rowOff>0</xdr:rowOff>
    </xdr:to>
    <xdr:sp macro="" textlink="">
      <xdr:nvSpPr>
        <xdr:cNvPr id="2116438" name="Line 198"/>
        <xdr:cNvSpPr>
          <a:spLocks noChangeShapeType="1"/>
        </xdr:cNvSpPr>
      </xdr:nvSpPr>
      <xdr:spPr bwMode="auto">
        <a:xfrm flipH="1">
          <a:off x="2181225" y="9782175"/>
          <a:ext cx="666750" cy="18288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64</xdr:row>
      <xdr:rowOff>114300</xdr:rowOff>
    </xdr:from>
    <xdr:to>
      <xdr:col>14</xdr:col>
      <xdr:colOff>114300</xdr:colOff>
      <xdr:row>67</xdr:row>
      <xdr:rowOff>190500</xdr:rowOff>
    </xdr:to>
    <xdr:sp macro="" textlink="">
      <xdr:nvSpPr>
        <xdr:cNvPr id="2116439" name="Line 229"/>
        <xdr:cNvSpPr>
          <a:spLocks noChangeShapeType="1"/>
        </xdr:cNvSpPr>
      </xdr:nvSpPr>
      <xdr:spPr bwMode="auto">
        <a:xfrm>
          <a:off x="3181350" y="9201150"/>
          <a:ext cx="0" cy="60007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209550</xdr:colOff>
      <xdr:row>64</xdr:row>
      <xdr:rowOff>0</xdr:rowOff>
    </xdr:from>
    <xdr:to>
      <xdr:col>19</xdr:col>
      <xdr:colOff>209550</xdr:colOff>
      <xdr:row>65</xdr:row>
      <xdr:rowOff>0</xdr:rowOff>
    </xdr:to>
    <xdr:sp macro="" textlink="">
      <xdr:nvSpPr>
        <xdr:cNvPr id="2116440" name="Line 241"/>
        <xdr:cNvSpPr>
          <a:spLocks noChangeShapeType="1"/>
        </xdr:cNvSpPr>
      </xdr:nvSpPr>
      <xdr:spPr bwMode="auto">
        <a:xfrm>
          <a:off x="4371975" y="90868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209550</xdr:colOff>
      <xdr:row>64</xdr:row>
      <xdr:rowOff>0</xdr:rowOff>
    </xdr:from>
    <xdr:to>
      <xdr:col>18</xdr:col>
      <xdr:colOff>209550</xdr:colOff>
      <xdr:row>65</xdr:row>
      <xdr:rowOff>9525</xdr:rowOff>
    </xdr:to>
    <xdr:sp macro="" textlink="">
      <xdr:nvSpPr>
        <xdr:cNvPr id="2116441" name="Line 242"/>
        <xdr:cNvSpPr>
          <a:spLocks noChangeShapeType="1"/>
        </xdr:cNvSpPr>
      </xdr:nvSpPr>
      <xdr:spPr bwMode="auto">
        <a:xfrm>
          <a:off x="4152900" y="90868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209550</xdr:colOff>
      <xdr:row>64</xdr:row>
      <xdr:rowOff>0</xdr:rowOff>
    </xdr:from>
    <xdr:to>
      <xdr:col>17</xdr:col>
      <xdr:colOff>209550</xdr:colOff>
      <xdr:row>65</xdr:row>
      <xdr:rowOff>0</xdr:rowOff>
    </xdr:to>
    <xdr:sp macro="" textlink="">
      <xdr:nvSpPr>
        <xdr:cNvPr id="2116442" name="Line 243"/>
        <xdr:cNvSpPr>
          <a:spLocks noChangeShapeType="1"/>
        </xdr:cNvSpPr>
      </xdr:nvSpPr>
      <xdr:spPr bwMode="auto">
        <a:xfrm>
          <a:off x="3933825" y="90868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62</xdr:row>
      <xdr:rowOff>114300</xdr:rowOff>
    </xdr:from>
    <xdr:to>
      <xdr:col>14</xdr:col>
      <xdr:colOff>114300</xdr:colOff>
      <xdr:row>62</xdr:row>
      <xdr:rowOff>114300</xdr:rowOff>
    </xdr:to>
    <xdr:sp macro="" textlink="">
      <xdr:nvSpPr>
        <xdr:cNvPr id="2116443" name="Line 247"/>
        <xdr:cNvSpPr>
          <a:spLocks noChangeShapeType="1"/>
        </xdr:cNvSpPr>
      </xdr:nvSpPr>
      <xdr:spPr bwMode="auto">
        <a:xfrm flipH="1">
          <a:off x="2514600" y="8953500"/>
          <a:ext cx="66675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63</xdr:row>
      <xdr:rowOff>9525</xdr:rowOff>
    </xdr:from>
    <xdr:to>
      <xdr:col>9</xdr:col>
      <xdr:colOff>142875</xdr:colOff>
      <xdr:row>65</xdr:row>
      <xdr:rowOff>0</xdr:rowOff>
    </xdr:to>
    <xdr:cxnSp macro="">
      <xdr:nvCxnSpPr>
        <xdr:cNvPr id="2116444" name="AutoShape 250"/>
        <xdr:cNvCxnSpPr>
          <a:cxnSpLocks noChangeShapeType="1"/>
        </xdr:cNvCxnSpPr>
      </xdr:nvCxnSpPr>
      <xdr:spPr bwMode="auto">
        <a:xfrm>
          <a:off x="2114550" y="8972550"/>
          <a:ext cx="0" cy="238125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80</xdr:row>
      <xdr:rowOff>0</xdr:rowOff>
    </xdr:from>
    <xdr:to>
      <xdr:col>20</xdr:col>
      <xdr:colOff>0</xdr:colOff>
      <xdr:row>80</xdr:row>
      <xdr:rowOff>114300</xdr:rowOff>
    </xdr:to>
    <xdr:sp macro="" textlink="">
      <xdr:nvSpPr>
        <xdr:cNvPr id="2116445" name="Line 253"/>
        <xdr:cNvSpPr>
          <a:spLocks noChangeShapeType="1"/>
        </xdr:cNvSpPr>
      </xdr:nvSpPr>
      <xdr:spPr bwMode="auto">
        <a:xfrm flipV="1">
          <a:off x="4381500" y="122110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81</xdr:row>
      <xdr:rowOff>28575</xdr:rowOff>
    </xdr:from>
    <xdr:to>
      <xdr:col>20</xdr:col>
      <xdr:colOff>9525</xdr:colOff>
      <xdr:row>84</xdr:row>
      <xdr:rowOff>9525</xdr:rowOff>
    </xdr:to>
    <xdr:sp macro="" textlink="">
      <xdr:nvSpPr>
        <xdr:cNvPr id="2116446" name="Line 254"/>
        <xdr:cNvSpPr>
          <a:spLocks noChangeShapeType="1"/>
        </xdr:cNvSpPr>
      </xdr:nvSpPr>
      <xdr:spPr bwMode="auto">
        <a:xfrm flipV="1">
          <a:off x="1314450" y="12363450"/>
          <a:ext cx="3076575" cy="3524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80</xdr:row>
      <xdr:rowOff>9525</xdr:rowOff>
    </xdr:from>
    <xdr:to>
      <xdr:col>18</xdr:col>
      <xdr:colOff>9525</xdr:colOff>
      <xdr:row>81</xdr:row>
      <xdr:rowOff>66675</xdr:rowOff>
    </xdr:to>
    <xdr:sp macro="" textlink="">
      <xdr:nvSpPr>
        <xdr:cNvPr id="2116447" name="Line 255"/>
        <xdr:cNvSpPr>
          <a:spLocks noChangeShapeType="1"/>
        </xdr:cNvSpPr>
      </xdr:nvSpPr>
      <xdr:spPr bwMode="auto">
        <a:xfrm flipH="1" flipV="1">
          <a:off x="3943350" y="12220575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80</xdr:row>
      <xdr:rowOff>0</xdr:rowOff>
    </xdr:from>
    <xdr:to>
      <xdr:col>6</xdr:col>
      <xdr:colOff>9525</xdr:colOff>
      <xdr:row>83</xdr:row>
      <xdr:rowOff>104775</xdr:rowOff>
    </xdr:to>
    <xdr:sp macro="" textlink="">
      <xdr:nvSpPr>
        <xdr:cNvPr id="2116448" name="Line 257"/>
        <xdr:cNvSpPr>
          <a:spLocks noChangeShapeType="1"/>
        </xdr:cNvSpPr>
      </xdr:nvSpPr>
      <xdr:spPr bwMode="auto">
        <a:xfrm flipV="1">
          <a:off x="1323975" y="12211050"/>
          <a:ext cx="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80</xdr:row>
      <xdr:rowOff>19050</xdr:rowOff>
    </xdr:from>
    <xdr:to>
      <xdr:col>8</xdr:col>
      <xdr:colOff>0</xdr:colOff>
      <xdr:row>83</xdr:row>
      <xdr:rowOff>76200</xdr:rowOff>
    </xdr:to>
    <xdr:sp macro="" textlink="">
      <xdr:nvSpPr>
        <xdr:cNvPr id="2116449" name="Line 258"/>
        <xdr:cNvSpPr>
          <a:spLocks noChangeShapeType="1"/>
        </xdr:cNvSpPr>
      </xdr:nvSpPr>
      <xdr:spPr bwMode="auto">
        <a:xfrm flipV="1">
          <a:off x="1752600" y="1223010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80</xdr:row>
      <xdr:rowOff>9525</xdr:rowOff>
    </xdr:from>
    <xdr:to>
      <xdr:col>9</xdr:col>
      <xdr:colOff>0</xdr:colOff>
      <xdr:row>83</xdr:row>
      <xdr:rowOff>19050</xdr:rowOff>
    </xdr:to>
    <xdr:sp macro="" textlink="">
      <xdr:nvSpPr>
        <xdr:cNvPr id="2116450" name="Line 259"/>
        <xdr:cNvSpPr>
          <a:spLocks noChangeShapeType="1"/>
        </xdr:cNvSpPr>
      </xdr:nvSpPr>
      <xdr:spPr bwMode="auto">
        <a:xfrm flipV="1">
          <a:off x="1971675" y="1222057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80</xdr:row>
      <xdr:rowOff>19050</xdr:rowOff>
    </xdr:from>
    <xdr:to>
      <xdr:col>9</xdr:col>
      <xdr:colOff>200025</xdr:colOff>
      <xdr:row>83</xdr:row>
      <xdr:rowOff>0</xdr:rowOff>
    </xdr:to>
    <xdr:sp macro="" textlink="">
      <xdr:nvSpPr>
        <xdr:cNvPr id="2116451" name="Line 260"/>
        <xdr:cNvSpPr>
          <a:spLocks noChangeShapeType="1"/>
        </xdr:cNvSpPr>
      </xdr:nvSpPr>
      <xdr:spPr bwMode="auto">
        <a:xfrm flipV="1">
          <a:off x="2171700" y="1223010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80</xdr:row>
      <xdr:rowOff>9525</xdr:rowOff>
    </xdr:from>
    <xdr:to>
      <xdr:col>11</xdr:col>
      <xdr:colOff>0</xdr:colOff>
      <xdr:row>83</xdr:row>
      <xdr:rowOff>0</xdr:rowOff>
    </xdr:to>
    <xdr:sp macro="" textlink="">
      <xdr:nvSpPr>
        <xdr:cNvPr id="2116452" name="Line 262"/>
        <xdr:cNvSpPr>
          <a:spLocks noChangeShapeType="1"/>
        </xdr:cNvSpPr>
      </xdr:nvSpPr>
      <xdr:spPr bwMode="auto">
        <a:xfrm flipV="1">
          <a:off x="2409825" y="12220575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80</xdr:row>
      <xdr:rowOff>19050</xdr:rowOff>
    </xdr:from>
    <xdr:to>
      <xdr:col>12</xdr:col>
      <xdr:colOff>0</xdr:colOff>
      <xdr:row>82</xdr:row>
      <xdr:rowOff>66675</xdr:rowOff>
    </xdr:to>
    <xdr:sp macro="" textlink="">
      <xdr:nvSpPr>
        <xdr:cNvPr id="2116453" name="Line 263"/>
        <xdr:cNvSpPr>
          <a:spLocks noChangeShapeType="1"/>
        </xdr:cNvSpPr>
      </xdr:nvSpPr>
      <xdr:spPr bwMode="auto">
        <a:xfrm flipV="1">
          <a:off x="2628900" y="122301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80</xdr:row>
      <xdr:rowOff>19050</xdr:rowOff>
    </xdr:from>
    <xdr:to>
      <xdr:col>15</xdr:col>
      <xdr:colOff>9525</xdr:colOff>
      <xdr:row>82</xdr:row>
      <xdr:rowOff>19050</xdr:rowOff>
    </xdr:to>
    <xdr:sp macro="" textlink="">
      <xdr:nvSpPr>
        <xdr:cNvPr id="2116454" name="Line 264"/>
        <xdr:cNvSpPr>
          <a:spLocks noChangeShapeType="1"/>
        </xdr:cNvSpPr>
      </xdr:nvSpPr>
      <xdr:spPr bwMode="auto">
        <a:xfrm flipV="1">
          <a:off x="3286125" y="12230100"/>
          <a:ext cx="95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200025</xdr:colOff>
      <xdr:row>80</xdr:row>
      <xdr:rowOff>19050</xdr:rowOff>
    </xdr:from>
    <xdr:to>
      <xdr:col>15</xdr:col>
      <xdr:colOff>209550</xdr:colOff>
      <xdr:row>82</xdr:row>
      <xdr:rowOff>0</xdr:rowOff>
    </xdr:to>
    <xdr:sp macro="" textlink="">
      <xdr:nvSpPr>
        <xdr:cNvPr id="2116455" name="Line 265"/>
        <xdr:cNvSpPr>
          <a:spLocks noChangeShapeType="1"/>
        </xdr:cNvSpPr>
      </xdr:nvSpPr>
      <xdr:spPr bwMode="auto">
        <a:xfrm flipV="1">
          <a:off x="3486150" y="12230100"/>
          <a:ext cx="95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80</xdr:row>
      <xdr:rowOff>9525</xdr:rowOff>
    </xdr:from>
    <xdr:to>
      <xdr:col>16</xdr:col>
      <xdr:colOff>209550</xdr:colOff>
      <xdr:row>81</xdr:row>
      <xdr:rowOff>114300</xdr:rowOff>
    </xdr:to>
    <xdr:sp macro="" textlink="">
      <xdr:nvSpPr>
        <xdr:cNvPr id="2116456" name="Line 266"/>
        <xdr:cNvSpPr>
          <a:spLocks noChangeShapeType="1"/>
        </xdr:cNvSpPr>
      </xdr:nvSpPr>
      <xdr:spPr bwMode="auto">
        <a:xfrm flipV="1">
          <a:off x="3714750" y="122205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219075</xdr:colOff>
      <xdr:row>65</xdr:row>
      <xdr:rowOff>19050</xdr:rowOff>
    </xdr:from>
    <xdr:to>
      <xdr:col>25</xdr:col>
      <xdr:colOff>200025</xdr:colOff>
      <xdr:row>80</xdr:row>
      <xdr:rowOff>0</xdr:rowOff>
    </xdr:to>
    <xdr:sp macro="" textlink="">
      <xdr:nvSpPr>
        <xdr:cNvPr id="2116457" name="Line 267"/>
        <xdr:cNvSpPr>
          <a:spLocks noChangeShapeType="1"/>
        </xdr:cNvSpPr>
      </xdr:nvSpPr>
      <xdr:spPr bwMode="auto">
        <a:xfrm>
          <a:off x="4819650" y="9229725"/>
          <a:ext cx="847725" cy="29813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209550</xdr:colOff>
      <xdr:row>79</xdr:row>
      <xdr:rowOff>190500</xdr:rowOff>
    </xdr:from>
    <xdr:to>
      <xdr:col>25</xdr:col>
      <xdr:colOff>209550</xdr:colOff>
      <xdr:row>79</xdr:row>
      <xdr:rowOff>190500</xdr:rowOff>
    </xdr:to>
    <xdr:sp macro="" textlink="">
      <xdr:nvSpPr>
        <xdr:cNvPr id="2116458" name="Line 268"/>
        <xdr:cNvSpPr>
          <a:spLocks noChangeShapeType="1"/>
        </xdr:cNvSpPr>
      </xdr:nvSpPr>
      <xdr:spPr bwMode="auto">
        <a:xfrm flipH="1">
          <a:off x="4810125" y="12201525"/>
          <a:ext cx="866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209550</xdr:colOff>
      <xdr:row>79</xdr:row>
      <xdr:rowOff>0</xdr:rowOff>
    </xdr:from>
    <xdr:to>
      <xdr:col>25</xdr:col>
      <xdr:colOff>142875</xdr:colOff>
      <xdr:row>79</xdr:row>
      <xdr:rowOff>0</xdr:rowOff>
    </xdr:to>
    <xdr:sp macro="" textlink="">
      <xdr:nvSpPr>
        <xdr:cNvPr id="2116459" name="Line 269"/>
        <xdr:cNvSpPr>
          <a:spLocks noChangeShapeType="1"/>
        </xdr:cNvSpPr>
      </xdr:nvSpPr>
      <xdr:spPr bwMode="auto">
        <a:xfrm flipH="1">
          <a:off x="4810125" y="1201102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78</xdr:row>
      <xdr:rowOff>9525</xdr:rowOff>
    </xdr:from>
    <xdr:to>
      <xdr:col>25</xdr:col>
      <xdr:colOff>114300</xdr:colOff>
      <xdr:row>78</xdr:row>
      <xdr:rowOff>9525</xdr:rowOff>
    </xdr:to>
    <xdr:sp macro="" textlink="">
      <xdr:nvSpPr>
        <xdr:cNvPr id="2116460" name="Line 270"/>
        <xdr:cNvSpPr>
          <a:spLocks noChangeShapeType="1"/>
        </xdr:cNvSpPr>
      </xdr:nvSpPr>
      <xdr:spPr bwMode="auto">
        <a:xfrm flipH="1">
          <a:off x="4819650" y="1182052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77</xdr:row>
      <xdr:rowOff>0</xdr:rowOff>
    </xdr:from>
    <xdr:to>
      <xdr:col>25</xdr:col>
      <xdr:colOff>66675</xdr:colOff>
      <xdr:row>77</xdr:row>
      <xdr:rowOff>0</xdr:rowOff>
    </xdr:to>
    <xdr:sp macro="" textlink="">
      <xdr:nvSpPr>
        <xdr:cNvPr id="2116461" name="Line 272"/>
        <xdr:cNvSpPr>
          <a:spLocks noChangeShapeType="1"/>
        </xdr:cNvSpPr>
      </xdr:nvSpPr>
      <xdr:spPr bwMode="auto">
        <a:xfrm flipH="1">
          <a:off x="4819650" y="116109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76</xdr:row>
      <xdr:rowOff>0</xdr:rowOff>
    </xdr:from>
    <xdr:to>
      <xdr:col>24</xdr:col>
      <xdr:colOff>200025</xdr:colOff>
      <xdr:row>76</xdr:row>
      <xdr:rowOff>0</xdr:rowOff>
    </xdr:to>
    <xdr:sp macro="" textlink="">
      <xdr:nvSpPr>
        <xdr:cNvPr id="2116462" name="Line 273"/>
        <xdr:cNvSpPr>
          <a:spLocks noChangeShapeType="1"/>
        </xdr:cNvSpPr>
      </xdr:nvSpPr>
      <xdr:spPr bwMode="auto">
        <a:xfrm flipH="1" flipV="1">
          <a:off x="4819650" y="1141095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74</xdr:row>
      <xdr:rowOff>190500</xdr:rowOff>
    </xdr:from>
    <xdr:to>
      <xdr:col>24</xdr:col>
      <xdr:colOff>161925</xdr:colOff>
      <xdr:row>74</xdr:row>
      <xdr:rowOff>190500</xdr:rowOff>
    </xdr:to>
    <xdr:sp macro="" textlink="">
      <xdr:nvSpPr>
        <xdr:cNvPr id="2116463" name="Line 274"/>
        <xdr:cNvSpPr>
          <a:spLocks noChangeShapeType="1"/>
        </xdr:cNvSpPr>
      </xdr:nvSpPr>
      <xdr:spPr bwMode="auto">
        <a:xfrm flipH="1">
          <a:off x="4829175" y="1120140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209550</xdr:colOff>
      <xdr:row>73</xdr:row>
      <xdr:rowOff>190500</xdr:rowOff>
    </xdr:from>
    <xdr:to>
      <xdr:col>24</xdr:col>
      <xdr:colOff>95250</xdr:colOff>
      <xdr:row>73</xdr:row>
      <xdr:rowOff>190500</xdr:rowOff>
    </xdr:to>
    <xdr:sp macro="" textlink="">
      <xdr:nvSpPr>
        <xdr:cNvPr id="2116464" name="Line 275"/>
        <xdr:cNvSpPr>
          <a:spLocks noChangeShapeType="1"/>
        </xdr:cNvSpPr>
      </xdr:nvSpPr>
      <xdr:spPr bwMode="auto">
        <a:xfrm flipH="1">
          <a:off x="4810125" y="110013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38100</xdr:colOff>
      <xdr:row>72</xdr:row>
      <xdr:rowOff>190500</xdr:rowOff>
    </xdr:from>
    <xdr:to>
      <xdr:col>24</xdr:col>
      <xdr:colOff>114300</xdr:colOff>
      <xdr:row>72</xdr:row>
      <xdr:rowOff>190500</xdr:rowOff>
    </xdr:to>
    <xdr:sp macro="" textlink="">
      <xdr:nvSpPr>
        <xdr:cNvPr id="2116465" name="Line 276"/>
        <xdr:cNvSpPr>
          <a:spLocks noChangeShapeType="1"/>
        </xdr:cNvSpPr>
      </xdr:nvSpPr>
      <xdr:spPr bwMode="auto">
        <a:xfrm flipH="1">
          <a:off x="4857750" y="108013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71</xdr:row>
      <xdr:rowOff>190500</xdr:rowOff>
    </xdr:from>
    <xdr:to>
      <xdr:col>23</xdr:col>
      <xdr:colOff>190500</xdr:colOff>
      <xdr:row>71</xdr:row>
      <xdr:rowOff>190500</xdr:rowOff>
    </xdr:to>
    <xdr:sp macro="" textlink="">
      <xdr:nvSpPr>
        <xdr:cNvPr id="2116466" name="Line 277"/>
        <xdr:cNvSpPr>
          <a:spLocks noChangeShapeType="1"/>
        </xdr:cNvSpPr>
      </xdr:nvSpPr>
      <xdr:spPr bwMode="auto">
        <a:xfrm flipH="1">
          <a:off x="4819650" y="1060132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71</xdr:row>
      <xdr:rowOff>0</xdr:rowOff>
    </xdr:from>
    <xdr:to>
      <xdr:col>23</xdr:col>
      <xdr:colOff>152400</xdr:colOff>
      <xdr:row>71</xdr:row>
      <xdr:rowOff>0</xdr:rowOff>
    </xdr:to>
    <xdr:sp macro="" textlink="">
      <xdr:nvSpPr>
        <xdr:cNvPr id="2116467" name="Line 278"/>
        <xdr:cNvSpPr>
          <a:spLocks noChangeShapeType="1"/>
        </xdr:cNvSpPr>
      </xdr:nvSpPr>
      <xdr:spPr bwMode="auto">
        <a:xfrm flipH="1">
          <a:off x="4819650" y="1041082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70</xdr:row>
      <xdr:rowOff>0</xdr:rowOff>
    </xdr:from>
    <xdr:to>
      <xdr:col>23</xdr:col>
      <xdr:colOff>76200</xdr:colOff>
      <xdr:row>70</xdr:row>
      <xdr:rowOff>0</xdr:rowOff>
    </xdr:to>
    <xdr:sp macro="" textlink="">
      <xdr:nvSpPr>
        <xdr:cNvPr id="2116468" name="Line 281"/>
        <xdr:cNvSpPr>
          <a:spLocks noChangeShapeType="1"/>
        </xdr:cNvSpPr>
      </xdr:nvSpPr>
      <xdr:spPr bwMode="auto">
        <a:xfrm flipH="1">
          <a:off x="4819650" y="102108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209550</xdr:colOff>
      <xdr:row>69</xdr:row>
      <xdr:rowOff>0</xdr:rowOff>
    </xdr:from>
    <xdr:to>
      <xdr:col>23</xdr:col>
      <xdr:colOff>19050</xdr:colOff>
      <xdr:row>69</xdr:row>
      <xdr:rowOff>0</xdr:rowOff>
    </xdr:to>
    <xdr:sp macro="" textlink="">
      <xdr:nvSpPr>
        <xdr:cNvPr id="2116469" name="Line 282"/>
        <xdr:cNvSpPr>
          <a:spLocks noChangeShapeType="1"/>
        </xdr:cNvSpPr>
      </xdr:nvSpPr>
      <xdr:spPr bwMode="auto">
        <a:xfrm flipH="1">
          <a:off x="4810125" y="100107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200025</xdr:colOff>
      <xdr:row>68</xdr:row>
      <xdr:rowOff>0</xdr:rowOff>
    </xdr:from>
    <xdr:to>
      <xdr:col>22</xdr:col>
      <xdr:colOff>161925</xdr:colOff>
      <xdr:row>68</xdr:row>
      <xdr:rowOff>0</xdr:rowOff>
    </xdr:to>
    <xdr:sp macro="" textlink="">
      <xdr:nvSpPr>
        <xdr:cNvPr id="2116470" name="Line 283"/>
        <xdr:cNvSpPr>
          <a:spLocks noChangeShapeType="1"/>
        </xdr:cNvSpPr>
      </xdr:nvSpPr>
      <xdr:spPr bwMode="auto">
        <a:xfrm flipH="1">
          <a:off x="4800600" y="98107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200025</xdr:colOff>
      <xdr:row>67</xdr:row>
      <xdr:rowOff>19050</xdr:rowOff>
    </xdr:from>
    <xdr:to>
      <xdr:col>22</xdr:col>
      <xdr:colOff>114300</xdr:colOff>
      <xdr:row>67</xdr:row>
      <xdr:rowOff>19050</xdr:rowOff>
    </xdr:to>
    <xdr:sp macro="" textlink="">
      <xdr:nvSpPr>
        <xdr:cNvPr id="2116471" name="Line 631"/>
        <xdr:cNvSpPr>
          <a:spLocks noChangeShapeType="1"/>
        </xdr:cNvSpPr>
      </xdr:nvSpPr>
      <xdr:spPr bwMode="auto">
        <a:xfrm flipH="1">
          <a:off x="4800600" y="96297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180975</xdr:colOff>
      <xdr:row>66</xdr:row>
      <xdr:rowOff>0</xdr:rowOff>
    </xdr:from>
    <xdr:to>
      <xdr:col>22</xdr:col>
      <xdr:colOff>47625</xdr:colOff>
      <xdr:row>66</xdr:row>
      <xdr:rowOff>0</xdr:rowOff>
    </xdr:to>
    <xdr:sp macro="" textlink="">
      <xdr:nvSpPr>
        <xdr:cNvPr id="2116472" name="Line 632"/>
        <xdr:cNvSpPr>
          <a:spLocks noChangeShapeType="1"/>
        </xdr:cNvSpPr>
      </xdr:nvSpPr>
      <xdr:spPr bwMode="auto">
        <a:xfrm flipH="1">
          <a:off x="4781550" y="941070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67</xdr:row>
      <xdr:rowOff>76200</xdr:rowOff>
    </xdr:from>
    <xdr:to>
      <xdr:col>19</xdr:col>
      <xdr:colOff>0</xdr:colOff>
      <xdr:row>70</xdr:row>
      <xdr:rowOff>66675</xdr:rowOff>
    </xdr:to>
    <xdr:sp macro="" textlink="">
      <xdr:nvSpPr>
        <xdr:cNvPr id="2116473" name="Line 229"/>
        <xdr:cNvSpPr>
          <a:spLocks noChangeShapeType="1"/>
        </xdr:cNvSpPr>
      </xdr:nvSpPr>
      <xdr:spPr bwMode="auto">
        <a:xfrm>
          <a:off x="4162425" y="9686925"/>
          <a:ext cx="0" cy="59055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142875</xdr:colOff>
      <xdr:row>74</xdr:row>
      <xdr:rowOff>0</xdr:rowOff>
    </xdr:from>
    <xdr:to>
      <xdr:col>19</xdr:col>
      <xdr:colOff>142875</xdr:colOff>
      <xdr:row>76</xdr:row>
      <xdr:rowOff>190500</xdr:rowOff>
    </xdr:to>
    <xdr:sp macro="" textlink="">
      <xdr:nvSpPr>
        <xdr:cNvPr id="2116474" name="Line 229"/>
        <xdr:cNvSpPr>
          <a:spLocks noChangeShapeType="1"/>
        </xdr:cNvSpPr>
      </xdr:nvSpPr>
      <xdr:spPr bwMode="auto">
        <a:xfrm>
          <a:off x="4305300" y="11010900"/>
          <a:ext cx="0" cy="59055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65</xdr:row>
      <xdr:rowOff>0</xdr:rowOff>
    </xdr:from>
    <xdr:to>
      <xdr:col>20</xdr:col>
      <xdr:colOff>209550</xdr:colOff>
      <xdr:row>65</xdr:row>
      <xdr:rowOff>0</xdr:rowOff>
    </xdr:to>
    <xdr:sp macro="" textlink="">
      <xdr:nvSpPr>
        <xdr:cNvPr id="2116475" name="Line 283"/>
        <xdr:cNvSpPr>
          <a:spLocks noChangeShapeType="1"/>
        </xdr:cNvSpPr>
      </xdr:nvSpPr>
      <xdr:spPr bwMode="auto">
        <a:xfrm flipH="1">
          <a:off x="4410075" y="92106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66</xdr:row>
      <xdr:rowOff>0</xdr:rowOff>
    </xdr:from>
    <xdr:to>
      <xdr:col>20</xdr:col>
      <xdr:colOff>209550</xdr:colOff>
      <xdr:row>66</xdr:row>
      <xdr:rowOff>0</xdr:rowOff>
    </xdr:to>
    <xdr:sp macro="" textlink="">
      <xdr:nvSpPr>
        <xdr:cNvPr id="2116476" name="Line 283"/>
        <xdr:cNvSpPr>
          <a:spLocks noChangeShapeType="1"/>
        </xdr:cNvSpPr>
      </xdr:nvSpPr>
      <xdr:spPr bwMode="auto">
        <a:xfrm flipH="1">
          <a:off x="4410075" y="94107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67</xdr:row>
      <xdr:rowOff>0</xdr:rowOff>
    </xdr:from>
    <xdr:to>
      <xdr:col>20</xdr:col>
      <xdr:colOff>209550</xdr:colOff>
      <xdr:row>67</xdr:row>
      <xdr:rowOff>0</xdr:rowOff>
    </xdr:to>
    <xdr:sp macro="" textlink="">
      <xdr:nvSpPr>
        <xdr:cNvPr id="2116477" name="Line 283"/>
        <xdr:cNvSpPr>
          <a:spLocks noChangeShapeType="1"/>
        </xdr:cNvSpPr>
      </xdr:nvSpPr>
      <xdr:spPr bwMode="auto">
        <a:xfrm flipH="1">
          <a:off x="4410075" y="96107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68</xdr:row>
      <xdr:rowOff>0</xdr:rowOff>
    </xdr:from>
    <xdr:to>
      <xdr:col>20</xdr:col>
      <xdr:colOff>209550</xdr:colOff>
      <xdr:row>68</xdr:row>
      <xdr:rowOff>0</xdr:rowOff>
    </xdr:to>
    <xdr:sp macro="" textlink="">
      <xdr:nvSpPr>
        <xdr:cNvPr id="2116478" name="Line 283"/>
        <xdr:cNvSpPr>
          <a:spLocks noChangeShapeType="1"/>
        </xdr:cNvSpPr>
      </xdr:nvSpPr>
      <xdr:spPr bwMode="auto">
        <a:xfrm flipH="1">
          <a:off x="4410075" y="98107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69</xdr:row>
      <xdr:rowOff>0</xdr:rowOff>
    </xdr:from>
    <xdr:to>
      <xdr:col>20</xdr:col>
      <xdr:colOff>209550</xdr:colOff>
      <xdr:row>69</xdr:row>
      <xdr:rowOff>0</xdr:rowOff>
    </xdr:to>
    <xdr:sp macro="" textlink="">
      <xdr:nvSpPr>
        <xdr:cNvPr id="2116479" name="Line 283"/>
        <xdr:cNvSpPr>
          <a:spLocks noChangeShapeType="1"/>
        </xdr:cNvSpPr>
      </xdr:nvSpPr>
      <xdr:spPr bwMode="auto">
        <a:xfrm flipH="1">
          <a:off x="4410075" y="100107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70</xdr:row>
      <xdr:rowOff>0</xdr:rowOff>
    </xdr:from>
    <xdr:to>
      <xdr:col>20</xdr:col>
      <xdr:colOff>209550</xdr:colOff>
      <xdr:row>70</xdr:row>
      <xdr:rowOff>0</xdr:rowOff>
    </xdr:to>
    <xdr:sp macro="" textlink="">
      <xdr:nvSpPr>
        <xdr:cNvPr id="2116480" name="Line 283"/>
        <xdr:cNvSpPr>
          <a:spLocks noChangeShapeType="1"/>
        </xdr:cNvSpPr>
      </xdr:nvSpPr>
      <xdr:spPr bwMode="auto">
        <a:xfrm flipH="1">
          <a:off x="4410075" y="102108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71</xdr:row>
      <xdr:rowOff>0</xdr:rowOff>
    </xdr:from>
    <xdr:to>
      <xdr:col>20</xdr:col>
      <xdr:colOff>209550</xdr:colOff>
      <xdr:row>71</xdr:row>
      <xdr:rowOff>0</xdr:rowOff>
    </xdr:to>
    <xdr:sp macro="" textlink="">
      <xdr:nvSpPr>
        <xdr:cNvPr id="2116481" name="Line 283"/>
        <xdr:cNvSpPr>
          <a:spLocks noChangeShapeType="1"/>
        </xdr:cNvSpPr>
      </xdr:nvSpPr>
      <xdr:spPr bwMode="auto">
        <a:xfrm flipH="1">
          <a:off x="4410075" y="104108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72</xdr:row>
      <xdr:rowOff>0</xdr:rowOff>
    </xdr:from>
    <xdr:to>
      <xdr:col>20</xdr:col>
      <xdr:colOff>209550</xdr:colOff>
      <xdr:row>72</xdr:row>
      <xdr:rowOff>0</xdr:rowOff>
    </xdr:to>
    <xdr:sp macro="" textlink="">
      <xdr:nvSpPr>
        <xdr:cNvPr id="2116482" name="Line 283"/>
        <xdr:cNvSpPr>
          <a:spLocks noChangeShapeType="1"/>
        </xdr:cNvSpPr>
      </xdr:nvSpPr>
      <xdr:spPr bwMode="auto">
        <a:xfrm flipH="1">
          <a:off x="4410075" y="106108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73</xdr:row>
      <xdr:rowOff>0</xdr:rowOff>
    </xdr:from>
    <xdr:to>
      <xdr:col>20</xdr:col>
      <xdr:colOff>209550</xdr:colOff>
      <xdr:row>73</xdr:row>
      <xdr:rowOff>0</xdr:rowOff>
    </xdr:to>
    <xdr:sp macro="" textlink="">
      <xdr:nvSpPr>
        <xdr:cNvPr id="2116483" name="Line 283"/>
        <xdr:cNvSpPr>
          <a:spLocks noChangeShapeType="1"/>
        </xdr:cNvSpPr>
      </xdr:nvSpPr>
      <xdr:spPr bwMode="auto">
        <a:xfrm flipH="1">
          <a:off x="4410075" y="108108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74</xdr:row>
      <xdr:rowOff>0</xdr:rowOff>
    </xdr:from>
    <xdr:to>
      <xdr:col>20</xdr:col>
      <xdr:colOff>209550</xdr:colOff>
      <xdr:row>74</xdr:row>
      <xdr:rowOff>0</xdr:rowOff>
    </xdr:to>
    <xdr:sp macro="" textlink="">
      <xdr:nvSpPr>
        <xdr:cNvPr id="2116484" name="Line 283"/>
        <xdr:cNvSpPr>
          <a:spLocks noChangeShapeType="1"/>
        </xdr:cNvSpPr>
      </xdr:nvSpPr>
      <xdr:spPr bwMode="auto">
        <a:xfrm flipH="1">
          <a:off x="4410075" y="110109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75</xdr:row>
      <xdr:rowOff>0</xdr:rowOff>
    </xdr:from>
    <xdr:to>
      <xdr:col>20</xdr:col>
      <xdr:colOff>209550</xdr:colOff>
      <xdr:row>75</xdr:row>
      <xdr:rowOff>0</xdr:rowOff>
    </xdr:to>
    <xdr:sp macro="" textlink="">
      <xdr:nvSpPr>
        <xdr:cNvPr id="2116485" name="Line 283"/>
        <xdr:cNvSpPr>
          <a:spLocks noChangeShapeType="1"/>
        </xdr:cNvSpPr>
      </xdr:nvSpPr>
      <xdr:spPr bwMode="auto">
        <a:xfrm flipH="1">
          <a:off x="4410075" y="112109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76</xdr:row>
      <xdr:rowOff>0</xdr:rowOff>
    </xdr:from>
    <xdr:to>
      <xdr:col>20</xdr:col>
      <xdr:colOff>209550</xdr:colOff>
      <xdr:row>76</xdr:row>
      <xdr:rowOff>0</xdr:rowOff>
    </xdr:to>
    <xdr:sp macro="" textlink="">
      <xdr:nvSpPr>
        <xdr:cNvPr id="2116486" name="Line 283"/>
        <xdr:cNvSpPr>
          <a:spLocks noChangeShapeType="1"/>
        </xdr:cNvSpPr>
      </xdr:nvSpPr>
      <xdr:spPr bwMode="auto">
        <a:xfrm flipH="1">
          <a:off x="4410075" y="11410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77</xdr:row>
      <xdr:rowOff>0</xdr:rowOff>
    </xdr:from>
    <xdr:to>
      <xdr:col>20</xdr:col>
      <xdr:colOff>209550</xdr:colOff>
      <xdr:row>77</xdr:row>
      <xdr:rowOff>0</xdr:rowOff>
    </xdr:to>
    <xdr:sp macro="" textlink="">
      <xdr:nvSpPr>
        <xdr:cNvPr id="2116487" name="Line 283"/>
        <xdr:cNvSpPr>
          <a:spLocks noChangeShapeType="1"/>
        </xdr:cNvSpPr>
      </xdr:nvSpPr>
      <xdr:spPr bwMode="auto">
        <a:xfrm flipH="1">
          <a:off x="4410075" y="116109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78</xdr:row>
      <xdr:rowOff>0</xdr:rowOff>
    </xdr:from>
    <xdr:to>
      <xdr:col>20</xdr:col>
      <xdr:colOff>209550</xdr:colOff>
      <xdr:row>78</xdr:row>
      <xdr:rowOff>0</xdr:rowOff>
    </xdr:to>
    <xdr:sp macro="" textlink="">
      <xdr:nvSpPr>
        <xdr:cNvPr id="2116488" name="Line 283"/>
        <xdr:cNvSpPr>
          <a:spLocks noChangeShapeType="1"/>
        </xdr:cNvSpPr>
      </xdr:nvSpPr>
      <xdr:spPr bwMode="auto">
        <a:xfrm flipH="1">
          <a:off x="4410075" y="118110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79</xdr:row>
      <xdr:rowOff>0</xdr:rowOff>
    </xdr:from>
    <xdr:to>
      <xdr:col>20</xdr:col>
      <xdr:colOff>209550</xdr:colOff>
      <xdr:row>79</xdr:row>
      <xdr:rowOff>0</xdr:rowOff>
    </xdr:to>
    <xdr:sp macro="" textlink="">
      <xdr:nvSpPr>
        <xdr:cNvPr id="2116489" name="Line 283"/>
        <xdr:cNvSpPr>
          <a:spLocks noChangeShapeType="1"/>
        </xdr:cNvSpPr>
      </xdr:nvSpPr>
      <xdr:spPr bwMode="auto">
        <a:xfrm flipH="1">
          <a:off x="4410075" y="120110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80</xdr:row>
      <xdr:rowOff>0</xdr:rowOff>
    </xdr:from>
    <xdr:to>
      <xdr:col>20</xdr:col>
      <xdr:colOff>209550</xdr:colOff>
      <xdr:row>80</xdr:row>
      <xdr:rowOff>0</xdr:rowOff>
    </xdr:to>
    <xdr:sp macro="" textlink="">
      <xdr:nvSpPr>
        <xdr:cNvPr id="2116490" name="Line 283"/>
        <xdr:cNvSpPr>
          <a:spLocks noChangeShapeType="1"/>
        </xdr:cNvSpPr>
      </xdr:nvSpPr>
      <xdr:spPr bwMode="auto">
        <a:xfrm flipH="1">
          <a:off x="4410075" y="122110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95250</xdr:colOff>
      <xdr:row>72</xdr:row>
      <xdr:rowOff>142875</xdr:rowOff>
    </xdr:from>
    <xdr:to>
      <xdr:col>23</xdr:col>
      <xdr:colOff>114300</xdr:colOff>
      <xdr:row>72</xdr:row>
      <xdr:rowOff>142875</xdr:rowOff>
    </xdr:to>
    <xdr:sp macro="" textlink="">
      <xdr:nvSpPr>
        <xdr:cNvPr id="2116491" name="Line 251"/>
        <xdr:cNvSpPr>
          <a:spLocks noChangeShapeType="1"/>
        </xdr:cNvSpPr>
      </xdr:nvSpPr>
      <xdr:spPr bwMode="auto">
        <a:xfrm flipH="1">
          <a:off x="4476750" y="10753725"/>
          <a:ext cx="676275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133350</xdr:colOff>
      <xdr:row>74</xdr:row>
      <xdr:rowOff>95250</xdr:rowOff>
    </xdr:from>
    <xdr:to>
      <xdr:col>27</xdr:col>
      <xdr:colOff>152400</xdr:colOff>
      <xdr:row>74</xdr:row>
      <xdr:rowOff>95250</xdr:rowOff>
    </xdr:to>
    <xdr:sp macro="" textlink="">
      <xdr:nvSpPr>
        <xdr:cNvPr id="2116492" name="Line 251"/>
        <xdr:cNvSpPr>
          <a:spLocks noChangeShapeType="1"/>
        </xdr:cNvSpPr>
      </xdr:nvSpPr>
      <xdr:spPr bwMode="auto">
        <a:xfrm flipH="1">
          <a:off x="5381625" y="11106150"/>
          <a:ext cx="676275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276225</xdr:colOff>
      <xdr:row>76</xdr:row>
      <xdr:rowOff>76200</xdr:rowOff>
    </xdr:from>
    <xdr:to>
      <xdr:col>14</xdr:col>
      <xdr:colOff>428625</xdr:colOff>
      <xdr:row>77</xdr:row>
      <xdr:rowOff>76200</xdr:rowOff>
    </xdr:to>
    <xdr:sp macro="" textlink="">
      <xdr:nvSpPr>
        <xdr:cNvPr id="811" name="Text Box 188"/>
        <xdr:cNvSpPr txBox="1">
          <a:spLocks noChangeArrowheads="1"/>
        </xdr:cNvSpPr>
      </xdr:nvSpPr>
      <xdr:spPr bwMode="auto">
        <a:xfrm>
          <a:off x="3943350" y="114871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20</xdr:col>
      <xdr:colOff>0</xdr:colOff>
      <xdr:row>75</xdr:row>
      <xdr:rowOff>190500</xdr:rowOff>
    </xdr:from>
    <xdr:to>
      <xdr:col>20</xdr:col>
      <xdr:colOff>0</xdr:colOff>
      <xdr:row>77</xdr:row>
      <xdr:rowOff>0</xdr:rowOff>
    </xdr:to>
    <xdr:sp macro="" textlink="">
      <xdr:nvSpPr>
        <xdr:cNvPr id="2116494" name="Line 239"/>
        <xdr:cNvSpPr>
          <a:spLocks noChangeShapeType="1"/>
        </xdr:cNvSpPr>
      </xdr:nvSpPr>
      <xdr:spPr bwMode="auto">
        <a:xfrm flipH="1">
          <a:off x="4381500" y="114014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75</xdr:row>
      <xdr:rowOff>190500</xdr:rowOff>
    </xdr:from>
    <xdr:to>
      <xdr:col>19</xdr:col>
      <xdr:colOff>0</xdr:colOff>
      <xdr:row>77</xdr:row>
      <xdr:rowOff>0</xdr:rowOff>
    </xdr:to>
    <xdr:sp macro="" textlink="">
      <xdr:nvSpPr>
        <xdr:cNvPr id="2116495" name="Line 238"/>
        <xdr:cNvSpPr>
          <a:spLocks noChangeShapeType="1"/>
        </xdr:cNvSpPr>
      </xdr:nvSpPr>
      <xdr:spPr bwMode="auto">
        <a:xfrm>
          <a:off x="4162425" y="114014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67</xdr:row>
      <xdr:rowOff>200025</xdr:rowOff>
    </xdr:from>
    <xdr:to>
      <xdr:col>14</xdr:col>
      <xdr:colOff>76200</xdr:colOff>
      <xdr:row>67</xdr:row>
      <xdr:rowOff>200025</xdr:rowOff>
    </xdr:to>
    <xdr:sp macro="" textlink="">
      <xdr:nvSpPr>
        <xdr:cNvPr id="2116496" name="Line 229"/>
        <xdr:cNvSpPr>
          <a:spLocks noChangeShapeType="1"/>
        </xdr:cNvSpPr>
      </xdr:nvSpPr>
      <xdr:spPr bwMode="auto">
        <a:xfrm rot="5400000">
          <a:off x="2843213" y="9510712"/>
          <a:ext cx="0" cy="60007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19050</xdr:colOff>
      <xdr:row>64</xdr:row>
      <xdr:rowOff>9525</xdr:rowOff>
    </xdr:from>
    <xdr:to>
      <xdr:col>17</xdr:col>
      <xdr:colOff>19050</xdr:colOff>
      <xdr:row>65</xdr:row>
      <xdr:rowOff>9525</xdr:rowOff>
    </xdr:to>
    <xdr:sp macro="" textlink="">
      <xdr:nvSpPr>
        <xdr:cNvPr id="2116497" name="Line 243"/>
        <xdr:cNvSpPr>
          <a:spLocks noChangeShapeType="1"/>
        </xdr:cNvSpPr>
      </xdr:nvSpPr>
      <xdr:spPr bwMode="auto">
        <a:xfrm>
          <a:off x="3743325" y="909637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80</xdr:row>
      <xdr:rowOff>19050</xdr:rowOff>
    </xdr:from>
    <xdr:to>
      <xdr:col>7</xdr:col>
      <xdr:colOff>0</xdr:colOff>
      <xdr:row>83</xdr:row>
      <xdr:rowOff>76200</xdr:rowOff>
    </xdr:to>
    <xdr:sp macro="" textlink="">
      <xdr:nvSpPr>
        <xdr:cNvPr id="2116498" name="Line 258"/>
        <xdr:cNvSpPr>
          <a:spLocks noChangeShapeType="1"/>
        </xdr:cNvSpPr>
      </xdr:nvSpPr>
      <xdr:spPr bwMode="auto">
        <a:xfrm flipV="1">
          <a:off x="1533525" y="1223010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209550</xdr:colOff>
      <xdr:row>80</xdr:row>
      <xdr:rowOff>19050</xdr:rowOff>
    </xdr:from>
    <xdr:to>
      <xdr:col>12</xdr:col>
      <xdr:colOff>209550</xdr:colOff>
      <xdr:row>82</xdr:row>
      <xdr:rowOff>66675</xdr:rowOff>
    </xdr:to>
    <xdr:sp macro="" textlink="">
      <xdr:nvSpPr>
        <xdr:cNvPr id="2116499" name="Line 263"/>
        <xdr:cNvSpPr>
          <a:spLocks noChangeShapeType="1"/>
        </xdr:cNvSpPr>
      </xdr:nvSpPr>
      <xdr:spPr bwMode="auto">
        <a:xfrm flipV="1">
          <a:off x="2838450" y="122301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80</xdr:row>
      <xdr:rowOff>19050</xdr:rowOff>
    </xdr:from>
    <xdr:to>
      <xdr:col>14</xdr:col>
      <xdr:colOff>9525</xdr:colOff>
      <xdr:row>82</xdr:row>
      <xdr:rowOff>66675</xdr:rowOff>
    </xdr:to>
    <xdr:sp macro="" textlink="">
      <xdr:nvSpPr>
        <xdr:cNvPr id="2116500" name="Line 263"/>
        <xdr:cNvSpPr>
          <a:spLocks noChangeShapeType="1"/>
        </xdr:cNvSpPr>
      </xdr:nvSpPr>
      <xdr:spPr bwMode="auto">
        <a:xfrm flipV="1">
          <a:off x="3076575" y="122301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200025</xdr:colOff>
      <xdr:row>80</xdr:row>
      <xdr:rowOff>9525</xdr:rowOff>
    </xdr:from>
    <xdr:to>
      <xdr:col>18</xdr:col>
      <xdr:colOff>209550</xdr:colOff>
      <xdr:row>81</xdr:row>
      <xdr:rowOff>66675</xdr:rowOff>
    </xdr:to>
    <xdr:sp macro="" textlink="">
      <xdr:nvSpPr>
        <xdr:cNvPr id="2116501" name="Line 255"/>
        <xdr:cNvSpPr>
          <a:spLocks noChangeShapeType="1"/>
        </xdr:cNvSpPr>
      </xdr:nvSpPr>
      <xdr:spPr bwMode="auto">
        <a:xfrm flipH="1" flipV="1">
          <a:off x="4143375" y="12220575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616</xdr:colOff>
      <xdr:row>40</xdr:row>
      <xdr:rowOff>185780</xdr:rowOff>
    </xdr:from>
    <xdr:to>
      <xdr:col>21</xdr:col>
      <xdr:colOff>217269</xdr:colOff>
      <xdr:row>40</xdr:row>
      <xdr:rowOff>195306</xdr:rowOff>
    </xdr:to>
    <xdr:cxnSp macro="">
      <xdr:nvCxnSpPr>
        <xdr:cNvPr id="2116502" name="AutoShape 161"/>
        <xdr:cNvCxnSpPr>
          <a:cxnSpLocks noChangeShapeType="1"/>
        </xdr:cNvCxnSpPr>
      </xdr:nvCxnSpPr>
      <xdr:spPr bwMode="auto">
        <a:xfrm>
          <a:off x="4257100" y="6210343"/>
          <a:ext cx="657185" cy="9526"/>
        </a:xfrm>
        <a:prstGeom prst="straightConnector1">
          <a:avLst/>
        </a:prstGeom>
        <a:noFill/>
        <a:ln w="317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147</xdr:row>
          <xdr:rowOff>57150</xdr:rowOff>
        </xdr:from>
        <xdr:to>
          <xdr:col>27</xdr:col>
          <xdr:colOff>66675</xdr:colOff>
          <xdr:row>150</xdr:row>
          <xdr:rowOff>95250</xdr:rowOff>
        </xdr:to>
        <xdr:sp macro="" textlink="">
          <xdr:nvSpPr>
            <xdr:cNvPr id="2078731" name="Object 11" hidden="1">
              <a:extLst>
                <a:ext uri="{63B3BB69-23CF-44E3-9099-C40C66FF867C}">
                  <a14:compatExt spid="_x0000_s2078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15437</xdr:colOff>
      <xdr:row>199</xdr:row>
      <xdr:rowOff>65033</xdr:rowOff>
    </xdr:from>
    <xdr:to>
      <xdr:col>12</xdr:col>
      <xdr:colOff>15437</xdr:colOff>
      <xdr:row>200</xdr:row>
      <xdr:rowOff>0</xdr:rowOff>
    </xdr:to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2616747" y="2703720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233</xdr:row>
      <xdr:rowOff>19050</xdr:rowOff>
    </xdr:from>
    <xdr:to>
      <xdr:col>11</xdr:col>
      <xdr:colOff>409575</xdr:colOff>
      <xdr:row>233</xdr:row>
      <xdr:rowOff>152400</xdr:rowOff>
    </xdr:to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2603609" y="33855791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234</xdr:row>
      <xdr:rowOff>19050</xdr:rowOff>
    </xdr:from>
    <xdr:to>
      <xdr:col>11</xdr:col>
      <xdr:colOff>409575</xdr:colOff>
      <xdr:row>234</xdr:row>
      <xdr:rowOff>152400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2603609" y="33980602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235</xdr:row>
      <xdr:rowOff>19050</xdr:rowOff>
    </xdr:from>
    <xdr:to>
      <xdr:col>11</xdr:col>
      <xdr:colOff>409575</xdr:colOff>
      <xdr:row>235</xdr:row>
      <xdr:rowOff>152400</xdr:rowOff>
    </xdr:to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2603609" y="34105412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245</xdr:row>
      <xdr:rowOff>19050</xdr:rowOff>
    </xdr:from>
    <xdr:to>
      <xdr:col>11</xdr:col>
      <xdr:colOff>409575</xdr:colOff>
      <xdr:row>245</xdr:row>
      <xdr:rowOff>152400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632184" y="31109964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246</xdr:row>
      <xdr:rowOff>19050</xdr:rowOff>
    </xdr:from>
    <xdr:to>
      <xdr:col>11</xdr:col>
      <xdr:colOff>409575</xdr:colOff>
      <xdr:row>246</xdr:row>
      <xdr:rowOff>152400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2632184" y="31234774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247</xdr:row>
      <xdr:rowOff>19050</xdr:rowOff>
    </xdr:from>
    <xdr:to>
      <xdr:col>11</xdr:col>
      <xdr:colOff>409575</xdr:colOff>
      <xdr:row>247</xdr:row>
      <xdr:rowOff>152400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2632184" y="31359584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258</xdr:row>
      <xdr:rowOff>19050</xdr:rowOff>
    </xdr:from>
    <xdr:to>
      <xdr:col>11</xdr:col>
      <xdr:colOff>409575</xdr:colOff>
      <xdr:row>258</xdr:row>
      <xdr:rowOff>152400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2632184" y="31109964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259</xdr:row>
      <xdr:rowOff>19050</xdr:rowOff>
    </xdr:from>
    <xdr:to>
      <xdr:col>11</xdr:col>
      <xdr:colOff>409575</xdr:colOff>
      <xdr:row>259</xdr:row>
      <xdr:rowOff>152400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2632184" y="31234774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260</xdr:row>
      <xdr:rowOff>19050</xdr:rowOff>
    </xdr:from>
    <xdr:to>
      <xdr:col>11</xdr:col>
      <xdr:colOff>409575</xdr:colOff>
      <xdr:row>260</xdr:row>
      <xdr:rowOff>152400</xdr:rowOff>
    </xdr:to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2632184" y="31359584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269</xdr:row>
      <xdr:rowOff>19050</xdr:rowOff>
    </xdr:from>
    <xdr:to>
      <xdr:col>11</xdr:col>
      <xdr:colOff>409575</xdr:colOff>
      <xdr:row>269</xdr:row>
      <xdr:rowOff>152400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2632184" y="3710086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270</xdr:row>
      <xdr:rowOff>19050</xdr:rowOff>
    </xdr:from>
    <xdr:to>
      <xdr:col>11</xdr:col>
      <xdr:colOff>409575</xdr:colOff>
      <xdr:row>270</xdr:row>
      <xdr:rowOff>152400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2632184" y="37225671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  <xdr:twoCellAnchor>
    <xdr:from>
      <xdr:col>11</xdr:col>
      <xdr:colOff>533400</xdr:colOff>
      <xdr:row>271</xdr:row>
      <xdr:rowOff>19050</xdr:rowOff>
    </xdr:from>
    <xdr:to>
      <xdr:col>11</xdr:col>
      <xdr:colOff>409575</xdr:colOff>
      <xdr:row>271</xdr:row>
      <xdr:rowOff>152400</xdr:rowOff>
    </xdr:to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2632184" y="37350481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PE" sz="700" b="0" i="0" strike="noStrike">
              <a:solidFill>
                <a:srgbClr val="3366FF"/>
              </a:solidFill>
              <a:latin typeface="Arial"/>
              <a:cs typeface="Arial"/>
            </a:rPr>
            <a:t>(11)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97</xdr:row>
      <xdr:rowOff>47625</xdr:rowOff>
    </xdr:from>
    <xdr:to>
      <xdr:col>5</xdr:col>
      <xdr:colOff>666750</xdr:colOff>
      <xdr:row>113</xdr:row>
      <xdr:rowOff>85725</xdr:rowOff>
    </xdr:to>
    <xdr:graphicFrame macro="">
      <xdr:nvGraphicFramePr>
        <xdr:cNvPr id="2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363</xdr:row>
      <xdr:rowOff>28575</xdr:rowOff>
    </xdr:from>
    <xdr:to>
      <xdr:col>10</xdr:col>
      <xdr:colOff>523875</xdr:colOff>
      <xdr:row>364</xdr:row>
      <xdr:rowOff>171450</xdr:rowOff>
    </xdr:to>
    <xdr:sp macro="" textlink="">
      <xdr:nvSpPr>
        <xdr:cNvPr id="3" name="Rectangle 118"/>
        <xdr:cNvSpPr>
          <a:spLocks noChangeArrowheads="1"/>
        </xdr:cNvSpPr>
      </xdr:nvSpPr>
      <xdr:spPr bwMode="auto">
        <a:xfrm>
          <a:off x="8058150" y="60969525"/>
          <a:ext cx="1000125" cy="44767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0" i="0" u="sng" strike="noStrike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s-PE" sz="1200" b="0" i="0" u="sng" strike="noStrike">
              <a:solidFill>
                <a:srgbClr val="000000"/>
              </a:solidFill>
              <a:latin typeface="Arial"/>
              <a:cs typeface="Arial"/>
            </a:rPr>
            <a:t>e</a:t>
          </a:r>
          <a:r>
            <a:rPr lang="es-PE" sz="800" b="0" i="0" u="sng" strike="noStrike">
              <a:solidFill>
                <a:srgbClr val="000000"/>
              </a:solidFill>
              <a:latin typeface="Arial"/>
              <a:cs typeface="Arial"/>
            </a:rPr>
            <a:t>max</a:t>
          </a:r>
          <a:r>
            <a:rPr lang="es-PE" sz="1000" b="0" i="0" u="sng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s-PE" sz="1200" b="0" i="0" u="sng" strike="noStrike">
              <a:solidFill>
                <a:srgbClr val="000000"/>
              </a:solidFill>
              <a:latin typeface="Arial"/>
              <a:cs typeface="Arial"/>
            </a:rPr>
            <a:t>e</a:t>
          </a:r>
          <a:r>
            <a:rPr lang="es-PE" sz="1000" b="0" i="0" u="sng" strike="noStrike">
              <a:solidFill>
                <a:srgbClr val="000000"/>
              </a:solidFill>
              <a:latin typeface="Arial"/>
              <a:cs typeface="Arial"/>
            </a:rPr>
            <a:t>)</a:t>
          </a: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x100%</a:t>
          </a:r>
        </a:p>
        <a:p>
          <a:pPr algn="l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PE" sz="1200" b="0" i="0" strike="noStrike">
              <a:solidFill>
                <a:srgbClr val="000000"/>
              </a:solidFill>
              <a:latin typeface="Arial"/>
              <a:cs typeface="Arial"/>
            </a:rPr>
            <a:t>e</a:t>
          </a:r>
          <a:r>
            <a:rPr lang="es-PE" sz="800" b="0" i="0" strike="noStrike">
              <a:solidFill>
                <a:srgbClr val="000000"/>
              </a:solidFill>
              <a:latin typeface="Arial"/>
              <a:cs typeface="Arial"/>
            </a:rPr>
            <a:t>max</a:t>
          </a:r>
        </a:p>
      </xdr:txBody>
    </xdr:sp>
    <xdr:clientData/>
  </xdr:twoCellAnchor>
  <xdr:twoCellAnchor>
    <xdr:from>
      <xdr:col>8</xdr:col>
      <xdr:colOff>314325</xdr:colOff>
      <xdr:row>374</xdr:row>
      <xdr:rowOff>104775</xdr:rowOff>
    </xdr:from>
    <xdr:to>
      <xdr:col>10</xdr:col>
      <xdr:colOff>9525</xdr:colOff>
      <xdr:row>376</xdr:row>
      <xdr:rowOff>123825</xdr:rowOff>
    </xdr:to>
    <xdr:sp macro="" textlink="">
      <xdr:nvSpPr>
        <xdr:cNvPr id="4" name="Rectangle 120"/>
        <xdr:cNvSpPr>
          <a:spLocks noChangeArrowheads="1"/>
        </xdr:cNvSpPr>
      </xdr:nvSpPr>
      <xdr:spPr bwMode="auto">
        <a:xfrm>
          <a:off x="7524750" y="62407800"/>
          <a:ext cx="1019175" cy="3810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s-PE" sz="1200" b="0" i="0" u="sng" strike="noStrike">
              <a:solidFill>
                <a:srgbClr val="000000"/>
              </a:solidFill>
              <a:latin typeface="Arial"/>
              <a:cs typeface="Arial"/>
            </a:rPr>
            <a:t>(Ø</a:t>
          </a:r>
          <a:r>
            <a:rPr lang="es-PE" sz="800" b="0" i="0" u="sng" strike="noStrike">
              <a:solidFill>
                <a:srgbClr val="000000"/>
              </a:solidFill>
              <a:latin typeface="Arial"/>
              <a:cs typeface="Arial"/>
            </a:rPr>
            <a:t>s</a:t>
          </a:r>
          <a:r>
            <a:rPr lang="es-PE" sz="1200" b="0" i="0" u="sng" strike="noStrike">
              <a:solidFill>
                <a:srgbClr val="000000"/>
              </a:solidFill>
              <a:latin typeface="Arial"/>
              <a:cs typeface="Arial"/>
            </a:rPr>
            <a:t>F</a:t>
          </a:r>
          <a:r>
            <a:rPr lang="es-PE" sz="800" b="0" i="0" u="sng" strike="noStrike">
              <a:solidFill>
                <a:srgbClr val="000000"/>
              </a:solidFill>
              <a:latin typeface="Arial"/>
              <a:cs typeface="Arial"/>
            </a:rPr>
            <a:t>r-</a:t>
          </a:r>
          <a:r>
            <a:rPr lang="es-PE" sz="1200" b="0" i="0" u="sng" strike="noStrike">
              <a:solidFill>
                <a:srgbClr val="000000"/>
              </a:solidFill>
              <a:latin typeface="Arial"/>
              <a:cs typeface="Arial"/>
            </a:rPr>
            <a:t>H</a:t>
          </a:r>
          <a:r>
            <a:rPr lang="es-PE" sz="800" b="0" i="0" u="sng" strike="noStrike">
              <a:solidFill>
                <a:srgbClr val="000000"/>
              </a:solidFill>
              <a:latin typeface="Arial"/>
              <a:cs typeface="Arial"/>
            </a:rPr>
            <a:t>L</a:t>
          </a:r>
          <a:r>
            <a:rPr lang="es-PE" sz="1000" b="0" i="0" u="sng" strike="noStrike">
              <a:solidFill>
                <a:srgbClr val="000000"/>
              </a:solidFill>
              <a:latin typeface="Arial"/>
              <a:cs typeface="Arial"/>
            </a:rPr>
            <a:t>)</a:t>
          </a: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x100%</a:t>
          </a:r>
          <a:endParaRPr lang="es-PE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s-PE" sz="1200" b="0" i="0" strike="noStrike">
              <a:solidFill>
                <a:srgbClr val="000000"/>
              </a:solidFill>
              <a:latin typeface="Arial"/>
              <a:cs typeface="Arial"/>
            </a:rPr>
            <a:t>Ø</a:t>
          </a:r>
          <a:r>
            <a:rPr lang="es-PE" sz="800" b="0" i="0" strike="noStrike">
              <a:solidFill>
                <a:srgbClr val="000000"/>
              </a:solidFill>
              <a:latin typeface="Arial"/>
              <a:cs typeface="Arial"/>
            </a:rPr>
            <a:t>s</a:t>
          </a:r>
          <a:r>
            <a:rPr lang="es-PE" sz="1200" b="0" i="0" strike="noStrike">
              <a:solidFill>
                <a:srgbClr val="000000"/>
              </a:solidFill>
              <a:latin typeface="Arial"/>
              <a:cs typeface="Arial"/>
            </a:rPr>
            <a:t>F</a:t>
          </a:r>
          <a:r>
            <a:rPr lang="es-PE" sz="800" b="0" i="0" strike="noStrike">
              <a:solidFill>
                <a:srgbClr val="000000"/>
              </a:solidFill>
              <a:latin typeface="Arial"/>
              <a:cs typeface="Arial"/>
            </a:rPr>
            <a:t>r</a:t>
          </a:r>
        </a:p>
      </xdr:txBody>
    </xdr:sp>
    <xdr:clientData/>
  </xdr:twoCellAnchor>
  <xdr:twoCellAnchor>
    <xdr:from>
      <xdr:col>8</xdr:col>
      <xdr:colOff>302078</xdr:colOff>
      <xdr:row>393</xdr:row>
      <xdr:rowOff>58512</xdr:rowOff>
    </xdr:from>
    <xdr:to>
      <xdr:col>10</xdr:col>
      <xdr:colOff>210910</xdr:colOff>
      <xdr:row>399</xdr:row>
      <xdr:rowOff>148318</xdr:rowOff>
    </xdr:to>
    <xdr:sp macro="" textlink="">
      <xdr:nvSpPr>
        <xdr:cNvPr id="5" name="Rectangle 123"/>
        <xdr:cNvSpPr>
          <a:spLocks noChangeArrowheads="1"/>
        </xdr:cNvSpPr>
      </xdr:nvSpPr>
      <xdr:spPr bwMode="auto">
        <a:xfrm>
          <a:off x="7512503" y="65209512"/>
          <a:ext cx="1232807" cy="451756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0" i="0" u="sng" strike="noStrike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s-PE" sz="1200" b="0" i="0" u="sng" strike="noStrike">
              <a:solidFill>
                <a:srgbClr val="000000"/>
              </a:solidFill>
              <a:latin typeface="Arial"/>
              <a:cs typeface="Arial"/>
            </a:rPr>
            <a:t>Øq</a:t>
          </a:r>
          <a:r>
            <a:rPr lang="es-PE" sz="800" b="0" i="0" u="sng" strike="noStrike">
              <a:solidFill>
                <a:srgbClr val="000000"/>
              </a:solidFill>
              <a:latin typeface="Arial"/>
              <a:cs typeface="Arial"/>
            </a:rPr>
            <a:t>ult</a:t>
          </a:r>
          <a:r>
            <a:rPr lang="es-PE" sz="1000" b="0" i="0" u="sng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s-PE" sz="1200" b="0" i="0" u="sng" strike="noStrike">
              <a:solidFill>
                <a:srgbClr val="000000"/>
              </a:solidFill>
              <a:latin typeface="Arial"/>
              <a:cs typeface="Arial"/>
            </a:rPr>
            <a:t>q</a:t>
          </a:r>
          <a:r>
            <a:rPr lang="es-PE" sz="800" b="0" i="0" u="sng" strike="noStrike">
              <a:solidFill>
                <a:srgbClr val="000000"/>
              </a:solidFill>
              <a:latin typeface="Arial"/>
              <a:cs typeface="Arial"/>
            </a:rPr>
            <a:t>max</a:t>
          </a:r>
          <a:r>
            <a:rPr lang="es-PE" sz="1000" b="0" i="0" u="sng" strike="noStrike">
              <a:solidFill>
                <a:srgbClr val="000000"/>
              </a:solidFill>
              <a:latin typeface="Arial"/>
              <a:cs typeface="Arial"/>
            </a:rPr>
            <a:t>)</a:t>
          </a: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x100%</a:t>
          </a:r>
          <a:endParaRPr lang="es-PE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s-PE" sz="1200" b="0" i="0" strike="noStrike">
              <a:solidFill>
                <a:srgbClr val="000000"/>
              </a:solidFill>
              <a:latin typeface="Arial"/>
              <a:cs typeface="Arial"/>
            </a:rPr>
            <a:t>Øq</a:t>
          </a:r>
          <a:r>
            <a:rPr lang="es-PE" sz="800" b="0" i="0" strike="noStrike">
              <a:solidFill>
                <a:srgbClr val="000000"/>
              </a:solidFill>
              <a:latin typeface="Arial"/>
              <a:cs typeface="Arial"/>
            </a:rPr>
            <a:t>ult</a:t>
          </a:r>
        </a:p>
        <a:p>
          <a:pPr algn="l" rtl="0">
            <a:defRPr sz="1000"/>
          </a:pPr>
          <a:endParaRPr lang="es-PE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127</xdr:row>
          <xdr:rowOff>19050</xdr:rowOff>
        </xdr:from>
        <xdr:to>
          <xdr:col>2</xdr:col>
          <xdr:colOff>247650</xdr:colOff>
          <xdr:row>129</xdr:row>
          <xdr:rowOff>114300</xdr:rowOff>
        </xdr:to>
        <xdr:sp macro="" textlink="">
          <xdr:nvSpPr>
            <xdr:cNvPr id="2125825" name="Object 1" hidden="1">
              <a:extLst>
                <a:ext uri="{63B3BB69-23CF-44E3-9099-C40C66FF867C}">
                  <a14:compatExt spid="_x0000_s2125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129</xdr:row>
          <xdr:rowOff>76200</xdr:rowOff>
        </xdr:from>
        <xdr:to>
          <xdr:col>2</xdr:col>
          <xdr:colOff>257175</xdr:colOff>
          <xdr:row>132</xdr:row>
          <xdr:rowOff>9525</xdr:rowOff>
        </xdr:to>
        <xdr:sp macro="" textlink="">
          <xdr:nvSpPr>
            <xdr:cNvPr id="2125826" name="Object 2" hidden="1">
              <a:extLst>
                <a:ext uri="{63B3BB69-23CF-44E3-9099-C40C66FF867C}">
                  <a14:compatExt spid="_x0000_s2125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217</xdr:row>
          <xdr:rowOff>66675</xdr:rowOff>
        </xdr:from>
        <xdr:to>
          <xdr:col>3</xdr:col>
          <xdr:colOff>133350</xdr:colOff>
          <xdr:row>229</xdr:row>
          <xdr:rowOff>123825</xdr:rowOff>
        </xdr:to>
        <xdr:sp macro="" textlink="">
          <xdr:nvSpPr>
            <xdr:cNvPr id="2125827" name="Object 3" hidden="1">
              <a:extLst>
                <a:ext uri="{63B3BB69-23CF-44E3-9099-C40C66FF867C}">
                  <a14:compatExt spid="_x0000_s2125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241</xdr:row>
          <xdr:rowOff>19050</xdr:rowOff>
        </xdr:from>
        <xdr:to>
          <xdr:col>6</xdr:col>
          <xdr:colOff>552450</xdr:colOff>
          <xdr:row>243</xdr:row>
          <xdr:rowOff>142875</xdr:rowOff>
        </xdr:to>
        <xdr:sp macro="" textlink="">
          <xdr:nvSpPr>
            <xdr:cNvPr id="2125828" name="Object 4" hidden="1">
              <a:extLst>
                <a:ext uri="{63B3BB69-23CF-44E3-9099-C40C66FF867C}">
                  <a14:compatExt spid="_x0000_s2125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133</xdr:row>
          <xdr:rowOff>152400</xdr:rowOff>
        </xdr:from>
        <xdr:to>
          <xdr:col>4</xdr:col>
          <xdr:colOff>361950</xdr:colOff>
          <xdr:row>135</xdr:row>
          <xdr:rowOff>9525</xdr:rowOff>
        </xdr:to>
        <xdr:sp macro="" textlink="">
          <xdr:nvSpPr>
            <xdr:cNvPr id="2125829" name="Object 5" hidden="1">
              <a:extLst>
                <a:ext uri="{63B3BB69-23CF-44E3-9099-C40C66FF867C}">
                  <a14:compatExt spid="_x0000_s2125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552450</xdr:colOff>
          <xdr:row>249</xdr:row>
          <xdr:rowOff>38100</xdr:rowOff>
        </xdr:from>
        <xdr:to>
          <xdr:col>3</xdr:col>
          <xdr:colOff>228600</xdr:colOff>
          <xdr:row>252</xdr:row>
          <xdr:rowOff>9525</xdr:rowOff>
        </xdr:to>
        <xdr:sp macro="" textlink="">
          <xdr:nvSpPr>
            <xdr:cNvPr id="2125830" name="Object 6" hidden="1">
              <a:extLst>
                <a:ext uri="{63B3BB69-23CF-44E3-9099-C40C66FF867C}">
                  <a14:compatExt spid="_x0000_s2125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262</xdr:row>
          <xdr:rowOff>0</xdr:rowOff>
        </xdr:from>
        <xdr:to>
          <xdr:col>2</xdr:col>
          <xdr:colOff>581025</xdr:colOff>
          <xdr:row>263</xdr:row>
          <xdr:rowOff>95250</xdr:rowOff>
        </xdr:to>
        <xdr:sp macro="" textlink="">
          <xdr:nvSpPr>
            <xdr:cNvPr id="2125831" name="Object 7" hidden="1">
              <a:extLst>
                <a:ext uri="{63B3BB69-23CF-44E3-9099-C40C66FF867C}">
                  <a14:compatExt spid="_x0000_s2125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271</xdr:row>
          <xdr:rowOff>0</xdr:rowOff>
        </xdr:from>
        <xdr:to>
          <xdr:col>3</xdr:col>
          <xdr:colOff>381000</xdr:colOff>
          <xdr:row>273</xdr:row>
          <xdr:rowOff>104775</xdr:rowOff>
        </xdr:to>
        <xdr:sp macro="" textlink="">
          <xdr:nvSpPr>
            <xdr:cNvPr id="2125832" name="Object 8" hidden="1">
              <a:extLst>
                <a:ext uri="{63B3BB69-23CF-44E3-9099-C40C66FF867C}">
                  <a14:compatExt spid="_x0000_s2125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228600</xdr:colOff>
          <xdr:row>391</xdr:row>
          <xdr:rowOff>38100</xdr:rowOff>
        </xdr:from>
        <xdr:to>
          <xdr:col>10</xdr:col>
          <xdr:colOff>9525</xdr:colOff>
          <xdr:row>392</xdr:row>
          <xdr:rowOff>238125</xdr:rowOff>
        </xdr:to>
        <xdr:sp macro="" textlink="">
          <xdr:nvSpPr>
            <xdr:cNvPr id="2125833" name="Object 9" hidden="1">
              <a:extLst>
                <a:ext uri="{63B3BB69-23CF-44E3-9099-C40C66FF867C}">
                  <a14:compatExt spid="_x0000_s2125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217</xdr:row>
          <xdr:rowOff>152400</xdr:rowOff>
        </xdr:from>
        <xdr:to>
          <xdr:col>9</xdr:col>
          <xdr:colOff>352425</xdr:colOff>
          <xdr:row>239</xdr:row>
          <xdr:rowOff>38100</xdr:rowOff>
        </xdr:to>
        <xdr:sp macro="" textlink="">
          <xdr:nvSpPr>
            <xdr:cNvPr id="2125834" name="Object 10" hidden="1">
              <a:extLst>
                <a:ext uri="{63B3BB69-23CF-44E3-9099-C40C66FF867C}">
                  <a14:compatExt spid="_x0000_s2125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581025</xdr:colOff>
          <xdr:row>266</xdr:row>
          <xdr:rowOff>38100</xdr:rowOff>
        </xdr:from>
        <xdr:to>
          <xdr:col>5</xdr:col>
          <xdr:colOff>438150</xdr:colOff>
          <xdr:row>267</xdr:row>
          <xdr:rowOff>152400</xdr:rowOff>
        </xdr:to>
        <xdr:sp macro="" textlink="">
          <xdr:nvSpPr>
            <xdr:cNvPr id="2125835" name="Object 11" hidden="1">
              <a:extLst>
                <a:ext uri="{63B3BB69-23CF-44E3-9099-C40C66FF867C}">
                  <a14:compatExt spid="_x0000_s2125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230</xdr:row>
          <xdr:rowOff>152400</xdr:rowOff>
        </xdr:from>
        <xdr:to>
          <xdr:col>3</xdr:col>
          <xdr:colOff>581025</xdr:colOff>
          <xdr:row>233</xdr:row>
          <xdr:rowOff>76200</xdr:rowOff>
        </xdr:to>
        <xdr:sp macro="" textlink="">
          <xdr:nvSpPr>
            <xdr:cNvPr id="2125836" name="Object 12" hidden="1">
              <a:extLst>
                <a:ext uri="{63B3BB69-23CF-44E3-9099-C40C66FF867C}">
                  <a14:compatExt spid="_x0000_s2125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241</xdr:row>
          <xdr:rowOff>38100</xdr:rowOff>
        </xdr:from>
        <xdr:to>
          <xdr:col>3</xdr:col>
          <xdr:colOff>781050</xdr:colOff>
          <xdr:row>244</xdr:row>
          <xdr:rowOff>19050</xdr:rowOff>
        </xdr:to>
        <xdr:sp macro="" textlink="">
          <xdr:nvSpPr>
            <xdr:cNvPr id="2125837" name="Object 13" hidden="1">
              <a:extLst>
                <a:ext uri="{63B3BB69-23CF-44E3-9099-C40C66FF867C}">
                  <a14:compatExt spid="_x0000_s2125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ens%202012\EXCELPARA%20EL%20EXAMEN\Muro%20de%20gravedad%20aregl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=3m"/>
    </sheetNames>
    <sheetDataSet>
      <sheetData sheetId="0">
        <row r="81">
          <cell r="B81">
            <v>0</v>
          </cell>
          <cell r="C81">
            <v>0</v>
          </cell>
          <cell r="G81">
            <v>2</v>
          </cell>
          <cell r="H81">
            <v>0.5</v>
          </cell>
        </row>
        <row r="82">
          <cell r="B82">
            <v>2</v>
          </cell>
          <cell r="C82">
            <v>0</v>
          </cell>
          <cell r="G82">
            <v>2</v>
          </cell>
          <cell r="H82">
            <v>3</v>
          </cell>
        </row>
        <row r="83">
          <cell r="B83">
            <v>2</v>
          </cell>
          <cell r="C83">
            <v>0.5</v>
          </cell>
          <cell r="G83">
            <v>0.7</v>
          </cell>
          <cell r="H83">
            <v>3</v>
          </cell>
        </row>
        <row r="84">
          <cell r="B84">
            <v>1.8</v>
          </cell>
          <cell r="C84">
            <v>0.5</v>
          </cell>
          <cell r="G84">
            <v>1.8</v>
          </cell>
          <cell r="H84">
            <v>0.5</v>
          </cell>
        </row>
        <row r="85">
          <cell r="B85">
            <v>0.7</v>
          </cell>
          <cell r="C85">
            <v>3</v>
          </cell>
        </row>
        <row r="86">
          <cell r="B86">
            <v>0.1</v>
          </cell>
          <cell r="C86">
            <v>3</v>
          </cell>
        </row>
        <row r="87">
          <cell r="B87">
            <v>0.1</v>
          </cell>
          <cell r="C87">
            <v>0.5</v>
          </cell>
        </row>
        <row r="88">
          <cell r="B88">
            <v>0</v>
          </cell>
          <cell r="C88">
            <v>0.5</v>
          </cell>
        </row>
        <row r="89">
          <cell r="B89">
            <v>0</v>
          </cell>
          <cell r="C8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wmf"/><Relationship Id="rId13" Type="http://schemas.openxmlformats.org/officeDocument/2006/relationships/oleObject" Target="../embeddings/oleObject7.bin"/><Relationship Id="rId18" Type="http://schemas.openxmlformats.org/officeDocument/2006/relationships/image" Target="../media/image7.emf"/><Relationship Id="rId26" Type="http://schemas.openxmlformats.org/officeDocument/2006/relationships/image" Target="../media/image11.emf"/><Relationship Id="rId3" Type="http://schemas.openxmlformats.org/officeDocument/2006/relationships/oleObject" Target="../embeddings/oleObject2.bin"/><Relationship Id="rId21" Type="http://schemas.openxmlformats.org/officeDocument/2006/relationships/oleObject" Target="../embeddings/oleObject12.bin"/><Relationship Id="rId7" Type="http://schemas.openxmlformats.org/officeDocument/2006/relationships/oleObject" Target="../embeddings/oleObject4.bin"/><Relationship Id="rId12" Type="http://schemas.openxmlformats.org/officeDocument/2006/relationships/image" Target="../media/image6.wmf"/><Relationship Id="rId17" Type="http://schemas.openxmlformats.org/officeDocument/2006/relationships/oleObject" Target="../embeddings/oleObject10.bin"/><Relationship Id="rId25" Type="http://schemas.openxmlformats.org/officeDocument/2006/relationships/oleObject" Target="../embeddings/oleObject14.bin"/><Relationship Id="rId2" Type="http://schemas.openxmlformats.org/officeDocument/2006/relationships/vmlDrawing" Target="../drawings/vmlDrawing2.vml"/><Relationship Id="rId16" Type="http://schemas.openxmlformats.org/officeDocument/2006/relationships/image" Target="../media/image1.wmf"/><Relationship Id="rId20" Type="http://schemas.openxmlformats.org/officeDocument/2006/relationships/image" Target="../media/image8.emf"/><Relationship Id="rId1" Type="http://schemas.openxmlformats.org/officeDocument/2006/relationships/drawing" Target="../drawings/drawing2.xml"/><Relationship Id="rId6" Type="http://schemas.openxmlformats.org/officeDocument/2006/relationships/image" Target="../media/image3.wmf"/><Relationship Id="rId11" Type="http://schemas.openxmlformats.org/officeDocument/2006/relationships/oleObject" Target="../embeddings/oleObject6.bin"/><Relationship Id="rId24" Type="http://schemas.openxmlformats.org/officeDocument/2006/relationships/image" Target="../media/image10.emf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9.bin"/><Relationship Id="rId23" Type="http://schemas.openxmlformats.org/officeDocument/2006/relationships/oleObject" Target="../embeddings/oleObject13.bin"/><Relationship Id="rId10" Type="http://schemas.openxmlformats.org/officeDocument/2006/relationships/image" Target="../media/image5.wmf"/><Relationship Id="rId19" Type="http://schemas.openxmlformats.org/officeDocument/2006/relationships/oleObject" Target="../embeddings/oleObject11.bin"/><Relationship Id="rId4" Type="http://schemas.openxmlformats.org/officeDocument/2006/relationships/image" Target="../media/image2.wmf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8.bin"/><Relationship Id="rId22" Type="http://schemas.openxmlformats.org/officeDocument/2006/relationships/image" Target="../media/image9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275"/>
  <sheetViews>
    <sheetView tabSelected="1" view="pageBreakPreview" topLeftCell="A71" zoomScale="160" zoomScaleNormal="100" zoomScaleSheetLayoutView="160" workbookViewId="0">
      <selection activeCell="H150" sqref="H150:I150"/>
    </sheetView>
  </sheetViews>
  <sheetFormatPr baseColWidth="10" defaultRowHeight="12.75" x14ac:dyDescent="0.2"/>
  <cols>
    <col min="1" max="11" width="3.28515625" customWidth="1"/>
    <col min="12" max="12" width="3.7109375" customWidth="1"/>
    <col min="13" max="13" width="3.85546875" customWidth="1"/>
    <col min="14" max="18" width="3.28515625" customWidth="1"/>
    <col min="19" max="19" width="3.42578125" customWidth="1"/>
    <col min="20" max="23" width="3.28515625" customWidth="1"/>
    <col min="24" max="24" width="3.140625" customWidth="1"/>
    <col min="25" max="26" width="3.28515625" customWidth="1"/>
    <col min="27" max="27" width="5.28515625" customWidth="1"/>
    <col min="28" max="28" width="3" customWidth="1"/>
    <col min="29" max="56" width="3.28515625" hidden="1" customWidth="1"/>
    <col min="57" max="61" width="3.28515625" customWidth="1"/>
    <col min="62" max="62" width="0" hidden="1" customWidth="1"/>
  </cols>
  <sheetData>
    <row r="1" spans="1:37" x14ac:dyDescent="0.2">
      <c r="A1" s="492" t="s">
        <v>185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</row>
    <row r="2" spans="1:37" x14ac:dyDescent="0.2">
      <c r="A2" s="493" t="s">
        <v>187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</row>
    <row r="3" spans="1:37" ht="9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9.75" customHeight="1" x14ac:dyDescent="0.25">
      <c r="A4" s="72">
        <v>1</v>
      </c>
      <c r="B4" s="59"/>
      <c r="C4" s="59" t="s">
        <v>5</v>
      </c>
      <c r="D4" s="59"/>
      <c r="E4" s="59"/>
      <c r="F4" s="59"/>
      <c r="G4" s="59"/>
      <c r="H4" s="59"/>
      <c r="I4" s="4"/>
      <c r="J4" s="4"/>
      <c r="K4" s="4"/>
      <c r="L4" s="4"/>
      <c r="M4" s="4"/>
      <c r="N4" s="4"/>
      <c r="O4" s="4"/>
      <c r="P4" s="4"/>
      <c r="Q4" s="4"/>
      <c r="R4" s="495" t="s">
        <v>118</v>
      </c>
      <c r="S4" s="495"/>
      <c r="T4" s="495"/>
      <c r="U4" s="495" t="s">
        <v>119</v>
      </c>
      <c r="V4" s="495"/>
      <c r="W4" s="49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9.75" customHeight="1" x14ac:dyDescent="0.2">
      <c r="A5" s="72"/>
      <c r="B5" s="59"/>
      <c r="C5" s="4" t="s">
        <v>6</v>
      </c>
      <c r="D5" s="4"/>
      <c r="E5" s="4" t="s">
        <v>7</v>
      </c>
      <c r="F5" s="4"/>
      <c r="G5" s="4"/>
      <c r="H5" s="4"/>
      <c r="I5" s="4"/>
      <c r="J5" s="4"/>
      <c r="K5" s="4"/>
      <c r="L5" s="4"/>
      <c r="M5" s="4"/>
      <c r="N5" s="4"/>
      <c r="O5" s="4"/>
      <c r="P5" s="4" t="s">
        <v>529</v>
      </c>
      <c r="Q5" s="4" t="s">
        <v>170</v>
      </c>
      <c r="R5" s="496">
        <v>4</v>
      </c>
      <c r="S5" s="496"/>
      <c r="T5" s="496"/>
      <c r="U5" s="497">
        <f>R5</f>
        <v>4</v>
      </c>
      <c r="V5" s="497"/>
      <c r="W5" s="497"/>
      <c r="X5" s="4"/>
      <c r="Y5" s="4"/>
      <c r="Z5" s="4"/>
      <c r="AA5" s="4"/>
      <c r="AB5" s="4"/>
      <c r="AC5" s="4"/>
      <c r="AD5" s="4"/>
      <c r="AE5" s="4"/>
      <c r="AF5" s="60" t="s">
        <v>181</v>
      </c>
      <c r="AG5" s="4"/>
      <c r="AH5" s="4"/>
      <c r="AI5" s="43" t="s">
        <v>130</v>
      </c>
      <c r="AJ5" s="4"/>
      <c r="AK5" s="4"/>
    </row>
    <row r="6" spans="1:37" ht="9.75" customHeight="1" x14ac:dyDescent="0.2">
      <c r="A6" s="72"/>
      <c r="B6" s="59"/>
      <c r="C6" s="4" t="s">
        <v>0</v>
      </c>
      <c r="D6" s="4"/>
      <c r="E6" s="4" t="s">
        <v>8</v>
      </c>
      <c r="F6" s="4"/>
      <c r="G6" s="4"/>
      <c r="H6" s="4"/>
      <c r="I6" s="4"/>
      <c r="J6" s="4" t="s">
        <v>188</v>
      </c>
      <c r="K6" s="4"/>
      <c r="L6" s="4"/>
      <c r="M6" s="4"/>
      <c r="N6" s="4"/>
      <c r="O6" s="4"/>
      <c r="P6" s="4" t="s">
        <v>530</v>
      </c>
      <c r="Q6" s="4" t="s">
        <v>170</v>
      </c>
      <c r="R6" s="498">
        <f>AVERAGE(0.5*R5,0.7*R5)</f>
        <v>2.4</v>
      </c>
      <c r="S6" s="498"/>
      <c r="T6" s="498"/>
      <c r="U6" s="499">
        <v>2.5</v>
      </c>
      <c r="V6" s="499"/>
      <c r="W6" s="499"/>
      <c r="X6" s="4"/>
      <c r="Y6" s="4"/>
      <c r="Z6" s="4"/>
      <c r="AA6" s="4"/>
      <c r="AB6" s="4"/>
      <c r="AC6" s="4"/>
      <c r="AD6" s="4"/>
      <c r="AE6" s="498">
        <f>0.4*R5</f>
        <v>1.6</v>
      </c>
      <c r="AF6" s="498"/>
      <c r="AG6" s="498"/>
      <c r="AH6" s="498">
        <f>0.7*R5</f>
        <v>2.8</v>
      </c>
      <c r="AI6" s="498"/>
      <c r="AJ6" s="498"/>
      <c r="AK6" s="4"/>
    </row>
    <row r="7" spans="1:37" ht="9.75" customHeight="1" x14ac:dyDescent="0.2">
      <c r="A7" s="72"/>
      <c r="B7" s="59"/>
      <c r="C7" s="4" t="s">
        <v>117</v>
      </c>
      <c r="D7" s="4"/>
      <c r="E7" s="4" t="s">
        <v>9</v>
      </c>
      <c r="F7" s="4"/>
      <c r="G7" s="4"/>
      <c r="H7" s="4"/>
      <c r="I7" s="4"/>
      <c r="J7" s="153" t="s">
        <v>189</v>
      </c>
      <c r="K7" s="4"/>
      <c r="L7" s="4"/>
      <c r="M7" s="4"/>
      <c r="N7" s="4"/>
      <c r="O7" s="4"/>
      <c r="P7" s="4" t="s">
        <v>531</v>
      </c>
      <c r="Q7" s="4" t="s">
        <v>170</v>
      </c>
      <c r="R7" s="498">
        <f>AVERAGE(R5/6,R5/8)</f>
        <v>0.58333333333333326</v>
      </c>
      <c r="S7" s="498"/>
      <c r="T7" s="498"/>
      <c r="U7" s="499">
        <v>0.6</v>
      </c>
      <c r="V7" s="499"/>
      <c r="W7" s="499"/>
      <c r="X7" s="4"/>
      <c r="Y7" s="4"/>
      <c r="Z7" s="4"/>
      <c r="AA7" s="4"/>
      <c r="AB7" s="4"/>
      <c r="AC7" s="4"/>
      <c r="AD7" s="4"/>
      <c r="AE7" s="498">
        <f>R5/12</f>
        <v>0.33333333333333331</v>
      </c>
      <c r="AF7" s="498"/>
      <c r="AG7" s="498"/>
      <c r="AH7" s="498">
        <f>R5/10</f>
        <v>0.4</v>
      </c>
      <c r="AI7" s="498"/>
      <c r="AJ7" s="498"/>
      <c r="AK7" s="4"/>
    </row>
    <row r="8" spans="1:37" ht="9.75" customHeight="1" x14ac:dyDescent="0.2">
      <c r="A8" s="72"/>
      <c r="B8" s="59"/>
      <c r="C8" s="4" t="s">
        <v>520</v>
      </c>
      <c r="D8" s="4"/>
      <c r="E8" s="4"/>
      <c r="F8" s="155" t="s">
        <v>521</v>
      </c>
      <c r="G8" s="4"/>
      <c r="H8" s="4"/>
      <c r="I8" s="4"/>
      <c r="J8" s="4"/>
      <c r="K8" s="4"/>
      <c r="L8" s="4"/>
      <c r="M8" s="4"/>
      <c r="N8" s="4"/>
      <c r="O8" s="4"/>
      <c r="P8" s="4" t="s">
        <v>520</v>
      </c>
      <c r="Q8" s="4" t="s">
        <v>170</v>
      </c>
      <c r="R8" s="498">
        <f>AVERAGE(R5/12,R5/6)</f>
        <v>0.5</v>
      </c>
      <c r="S8" s="498"/>
      <c r="T8" s="498"/>
      <c r="U8" s="500">
        <v>0.5</v>
      </c>
      <c r="V8" s="500"/>
      <c r="W8" s="500"/>
      <c r="X8" s="157"/>
      <c r="Y8" s="157"/>
      <c r="Z8" s="157"/>
      <c r="AA8" s="157"/>
      <c r="AB8" s="157"/>
      <c r="AC8" s="4"/>
      <c r="AD8" s="4"/>
      <c r="AE8" s="4"/>
      <c r="AF8" s="4"/>
      <c r="AG8" s="4"/>
      <c r="AH8" s="4"/>
      <c r="AI8" s="4"/>
      <c r="AJ8" s="4"/>
      <c r="AK8" s="4"/>
    </row>
    <row r="9" spans="1:37" ht="9.75" customHeight="1" x14ac:dyDescent="0.2">
      <c r="A9" s="72"/>
      <c r="B9" s="5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99"/>
      <c r="S9" s="499"/>
      <c r="T9" s="499"/>
      <c r="U9" s="497"/>
      <c r="V9" s="497"/>
      <c r="W9" s="497"/>
      <c r="X9" s="157"/>
      <c r="Y9" s="157"/>
      <c r="Z9" s="157"/>
      <c r="AA9" s="157"/>
      <c r="AB9" s="157"/>
      <c r="AC9" s="4"/>
      <c r="AD9" s="4"/>
      <c r="AE9" s="4"/>
      <c r="AF9" s="4"/>
      <c r="AG9" s="4"/>
      <c r="AH9" s="4"/>
      <c r="AI9" s="4"/>
      <c r="AJ9" s="4"/>
      <c r="AK9" s="4"/>
    </row>
    <row r="10" spans="1:37" ht="9.75" customHeight="1" x14ac:dyDescent="0.2">
      <c r="A10" s="72"/>
      <c r="B10" s="59"/>
      <c r="C10" s="4" t="s">
        <v>132</v>
      </c>
      <c r="D10" s="4"/>
      <c r="E10" s="4" t="s">
        <v>10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 t="s">
        <v>532</v>
      </c>
      <c r="Q10" s="4" t="s">
        <v>170</v>
      </c>
      <c r="R10" s="499">
        <v>1</v>
      </c>
      <c r="S10" s="499"/>
      <c r="T10" s="499"/>
      <c r="U10" s="497">
        <f t="shared" ref="U10:U13" si="0">R10</f>
        <v>1</v>
      </c>
      <c r="V10" s="497"/>
      <c r="W10" s="497"/>
      <c r="X10" s="4" t="s">
        <v>190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9.75" customHeight="1" x14ac:dyDescent="0.2">
      <c r="A11" s="72"/>
      <c r="B11" s="59"/>
      <c r="C11" s="4" t="s">
        <v>11</v>
      </c>
      <c r="D11" s="4"/>
      <c r="E11" s="4" t="s">
        <v>12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 t="s">
        <v>533</v>
      </c>
      <c r="Q11" s="4" t="s">
        <v>170</v>
      </c>
      <c r="R11" s="501">
        <v>0.1</v>
      </c>
      <c r="S11" s="501"/>
      <c r="T11" s="501"/>
      <c r="U11" s="502">
        <f t="shared" si="0"/>
        <v>0.1</v>
      </c>
      <c r="V11" s="502"/>
      <c r="W11" s="502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9.75" customHeight="1" x14ac:dyDescent="0.2">
      <c r="A12" s="72"/>
      <c r="B12" s="59"/>
      <c r="C12" s="4" t="s">
        <v>133</v>
      </c>
      <c r="D12" s="4"/>
      <c r="E12" s="4"/>
      <c r="F12" s="4" t="s">
        <v>13</v>
      </c>
      <c r="G12" s="4"/>
      <c r="H12" s="4"/>
      <c r="I12" s="4"/>
      <c r="J12" s="4"/>
      <c r="K12" s="4"/>
      <c r="L12" s="4"/>
      <c r="M12" s="4"/>
      <c r="N12" s="4"/>
      <c r="O12" s="4"/>
      <c r="P12" s="4" t="s">
        <v>534</v>
      </c>
      <c r="Q12" s="4" t="s">
        <v>170</v>
      </c>
      <c r="R12" s="503">
        <f>U11+U10</f>
        <v>1.1000000000000001</v>
      </c>
      <c r="S12" s="503"/>
      <c r="T12" s="503"/>
      <c r="U12" s="497">
        <f>R12</f>
        <v>1.1000000000000001</v>
      </c>
      <c r="V12" s="497"/>
      <c r="W12" s="497"/>
      <c r="X12" s="158"/>
      <c r="Y12" s="158"/>
      <c r="Z12" s="158"/>
      <c r="AA12" s="158"/>
      <c r="AB12" s="158"/>
      <c r="AC12" s="4"/>
      <c r="AD12" s="4"/>
      <c r="AE12" s="4"/>
      <c r="AF12" s="4"/>
      <c r="AG12" s="4"/>
      <c r="AH12" s="4"/>
      <c r="AI12" s="4"/>
      <c r="AJ12" s="4"/>
      <c r="AK12" s="4"/>
    </row>
    <row r="13" spans="1:37" ht="9.75" customHeight="1" x14ac:dyDescent="0.2">
      <c r="A13" s="72"/>
      <c r="B13" s="59"/>
      <c r="C13" s="4" t="s">
        <v>134</v>
      </c>
      <c r="D13" s="4"/>
      <c r="E13" s="4"/>
      <c r="F13" s="4" t="s">
        <v>14</v>
      </c>
      <c r="G13" s="4"/>
      <c r="H13" s="4"/>
      <c r="I13" s="4"/>
      <c r="J13" s="4"/>
      <c r="K13" s="4"/>
      <c r="L13" s="4"/>
      <c r="M13" s="4"/>
      <c r="N13" s="4"/>
      <c r="O13" s="4"/>
      <c r="P13" s="4" t="s">
        <v>535</v>
      </c>
      <c r="Q13" s="4" t="s">
        <v>170</v>
      </c>
      <c r="R13" s="504">
        <v>0.2</v>
      </c>
      <c r="S13" s="504"/>
      <c r="T13" s="504"/>
      <c r="U13" s="497">
        <f t="shared" si="0"/>
        <v>0.2</v>
      </c>
      <c r="V13" s="497"/>
      <c r="W13" s="497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9.75" customHeight="1" x14ac:dyDescent="0.2">
      <c r="A14" s="72"/>
      <c r="B14" s="59"/>
      <c r="C14" s="4" t="s">
        <v>135</v>
      </c>
      <c r="D14" s="4"/>
      <c r="E14" s="4"/>
      <c r="F14" s="4"/>
      <c r="G14" s="4"/>
      <c r="H14" s="4"/>
      <c r="I14" s="4"/>
      <c r="J14" s="4" t="s">
        <v>186</v>
      </c>
      <c r="K14" s="4"/>
      <c r="L14" s="4"/>
      <c r="M14" s="4"/>
      <c r="N14" s="4"/>
      <c r="O14" s="4"/>
      <c r="P14" s="4"/>
      <c r="Q14" s="4" t="s">
        <v>170</v>
      </c>
      <c r="R14" s="498">
        <f>AVERAGE(0.45*R5,0.5*R5)</f>
        <v>1.9</v>
      </c>
      <c r="S14" s="498"/>
      <c r="T14" s="498"/>
      <c r="U14" s="497">
        <v>1</v>
      </c>
      <c r="V14" s="497"/>
      <c r="W14" s="497"/>
      <c r="X14" s="4" t="s">
        <v>526</v>
      </c>
      <c r="Y14" s="4"/>
      <c r="Z14" s="4"/>
      <c r="AA14" s="4"/>
      <c r="AB14" s="473">
        <v>20</v>
      </c>
      <c r="AC14" s="4"/>
      <c r="AD14" s="4"/>
      <c r="AE14" s="498">
        <f>R5/12</f>
        <v>0.33333333333333331</v>
      </c>
      <c r="AF14" s="498"/>
      <c r="AG14" s="498"/>
      <c r="AH14" s="498">
        <f>R5/10</f>
        <v>0.4</v>
      </c>
      <c r="AI14" s="498"/>
      <c r="AJ14" s="498"/>
      <c r="AK14" s="4"/>
    </row>
    <row r="15" spans="1:37" ht="9.75" customHeight="1" x14ac:dyDescent="0.2">
      <c r="A15" s="72"/>
      <c r="B15" s="59"/>
      <c r="C15" s="4"/>
      <c r="D15" s="4"/>
      <c r="E15" s="4"/>
      <c r="F15" s="4"/>
      <c r="G15" s="4"/>
      <c r="H15" s="4"/>
      <c r="I15" s="4"/>
      <c r="J15" s="4"/>
      <c r="K15" s="4"/>
      <c r="L15" s="4"/>
      <c r="M15" s="64"/>
      <c r="N15" s="64"/>
      <c r="O15" s="64"/>
      <c r="P15" s="64"/>
      <c r="Q15" s="64"/>
      <c r="R15" s="505">
        <f>N42+Q42+R25</f>
        <v>1.7871336649382605</v>
      </c>
      <c r="S15" s="505"/>
      <c r="T15" s="505"/>
      <c r="U15" s="497"/>
      <c r="V15" s="497"/>
      <c r="W15" s="497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9.75" customHeight="1" x14ac:dyDescent="0.2">
      <c r="A16" s="72"/>
      <c r="B16" s="5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98"/>
      <c r="S16" s="498"/>
      <c r="T16" s="498"/>
      <c r="U16" s="497"/>
      <c r="V16" s="497"/>
      <c r="W16" s="497"/>
      <c r="X16" s="4"/>
      <c r="Y16" s="4" t="s">
        <v>528</v>
      </c>
      <c r="Z16" s="4" t="s">
        <v>527</v>
      </c>
      <c r="AA16" s="4">
        <f>TAN(AB14*3.1416/180)</f>
        <v>0.36397115866880897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63" ht="9.75" customHeight="1" x14ac:dyDescent="0.2">
      <c r="A17" s="72"/>
      <c r="B17" s="59"/>
      <c r="C17" s="4" t="s">
        <v>136</v>
      </c>
      <c r="D17" s="4"/>
      <c r="E17" s="4" t="s">
        <v>123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s">
        <v>170</v>
      </c>
      <c r="R17" s="498"/>
      <c r="S17" s="498"/>
      <c r="T17" s="498"/>
      <c r="U17" s="498" t="s">
        <v>175</v>
      </c>
      <c r="V17" s="498"/>
      <c r="W17" s="498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63" ht="9.75" customHeight="1" x14ac:dyDescent="0.2">
      <c r="A18" s="72"/>
      <c r="B18" s="59"/>
      <c r="C18" s="4" t="s">
        <v>18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74"/>
      <c r="P18" s="74"/>
      <c r="Q18" s="4" t="s">
        <v>170</v>
      </c>
      <c r="R18" s="498">
        <f>200+0.0017*O21</f>
        <v>257.8</v>
      </c>
      <c r="S18" s="498"/>
      <c r="T18" s="498"/>
      <c r="U18" s="496">
        <v>0.75</v>
      </c>
      <c r="V18" s="496"/>
      <c r="W18" s="496"/>
      <c r="X18" s="4" t="s">
        <v>524</v>
      </c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63" ht="9.75" customHeight="1" x14ac:dyDescent="0.2">
      <c r="A19" s="72"/>
      <c r="B19" s="59"/>
      <c r="C19" s="4" t="s">
        <v>169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07">
        <f>R18/1000</f>
        <v>0.25780000000000003</v>
      </c>
      <c r="S19" s="507"/>
      <c r="T19" s="4"/>
      <c r="U19" s="4"/>
      <c r="V19" s="4"/>
      <c r="W19" s="4"/>
      <c r="X19" s="4"/>
      <c r="Y19" s="4"/>
      <c r="Z19" s="4" t="s">
        <v>536</v>
      </c>
      <c r="AA19" s="473">
        <v>0.76</v>
      </c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63" ht="9.75" customHeight="1" x14ac:dyDescent="0.2">
      <c r="A20" s="72"/>
      <c r="B20" s="59"/>
      <c r="C20" s="4" t="s">
        <v>18</v>
      </c>
      <c r="D20" s="4"/>
      <c r="E20" s="4" t="s">
        <v>137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08">
        <f>R19*2</f>
        <v>0.51560000000000006</v>
      </c>
      <c r="S20" s="508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63" ht="9.75" customHeight="1" x14ac:dyDescent="0.2">
      <c r="A21" s="72"/>
      <c r="B21" s="59"/>
      <c r="C21" s="4" t="s">
        <v>183</v>
      </c>
      <c r="D21" s="4"/>
      <c r="E21" s="4" t="s">
        <v>15</v>
      </c>
      <c r="F21" s="4"/>
      <c r="G21" s="4"/>
      <c r="H21" s="4"/>
      <c r="I21" s="4"/>
      <c r="J21" s="4"/>
      <c r="K21" s="4"/>
      <c r="L21" s="4"/>
      <c r="M21" s="4"/>
      <c r="N21" s="4" t="s">
        <v>170</v>
      </c>
      <c r="O21" s="506">
        <f>Z21*1000</f>
        <v>34000</v>
      </c>
      <c r="P21" s="506"/>
      <c r="Q21" s="506"/>
      <c r="R21" s="4"/>
      <c r="S21" s="4"/>
      <c r="T21" s="4"/>
      <c r="U21" s="4" t="s">
        <v>523</v>
      </c>
      <c r="V21" s="4"/>
      <c r="W21" s="4"/>
      <c r="X21" s="4"/>
      <c r="Y21" s="4"/>
      <c r="Z21" s="473">
        <v>34</v>
      </c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63" ht="9.75" customHeight="1" x14ac:dyDescent="0.2">
      <c r="A22" s="72"/>
      <c r="B22" s="59"/>
      <c r="C22" s="4" t="s">
        <v>6</v>
      </c>
      <c r="D22" s="4"/>
      <c r="E22" s="507">
        <v>0</v>
      </c>
      <c r="F22" s="507"/>
      <c r="G22" s="4" t="s">
        <v>178</v>
      </c>
      <c r="H22" s="4"/>
      <c r="I22" s="4" t="s">
        <v>16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63" ht="9.75" customHeight="1" x14ac:dyDescent="0.2">
      <c r="A23" s="72"/>
      <c r="B23" s="59"/>
      <c r="C23" s="4" t="s">
        <v>184</v>
      </c>
      <c r="D23" s="4"/>
      <c r="E23" s="58" t="s">
        <v>17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 t="s">
        <v>170</v>
      </c>
      <c r="V23" s="507">
        <v>30</v>
      </c>
      <c r="W23" s="507"/>
      <c r="X23" s="75" t="s">
        <v>85</v>
      </c>
      <c r="Y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63" ht="9.75" customHeight="1" x14ac:dyDescent="0.2">
      <c r="A24" s="72"/>
      <c r="B24" s="5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63" ht="9.75" customHeight="1" x14ac:dyDescent="0.2">
      <c r="A25" s="4"/>
      <c r="B25" s="4"/>
      <c r="C25" s="4"/>
      <c r="D25" s="4"/>
      <c r="E25" s="4"/>
      <c r="F25" s="4"/>
      <c r="G25" s="4"/>
      <c r="H25" s="4"/>
      <c r="I25" s="59"/>
      <c r="J25" s="9"/>
      <c r="M25" s="9"/>
      <c r="P25" s="509">
        <f>U18</f>
        <v>0.75</v>
      </c>
      <c r="Q25" s="509"/>
      <c r="R25" s="603">
        <f>U13</f>
        <v>0.2</v>
      </c>
      <c r="S25" s="603"/>
      <c r="U25" s="516"/>
      <c r="V25" s="516"/>
      <c r="W25" s="516"/>
      <c r="X25" s="4"/>
      <c r="Y25" s="4"/>
      <c r="Z25" s="4"/>
      <c r="AA25" s="4"/>
      <c r="AB25" s="4"/>
      <c r="AC25" s="7"/>
      <c r="AD25" s="7"/>
      <c r="AE25" s="4"/>
      <c r="AF25" s="4"/>
      <c r="AG25" s="4"/>
      <c r="AH25" s="4"/>
      <c r="AI25" s="4"/>
      <c r="AJ25" s="4"/>
      <c r="AK25" s="4"/>
    </row>
    <row r="26" spans="1:63" ht="12.75" customHeight="1" x14ac:dyDescent="0.2">
      <c r="A26" s="4"/>
      <c r="B26" s="4"/>
      <c r="C26" s="4"/>
      <c r="D26" s="4"/>
      <c r="E26" s="4"/>
      <c r="F26" s="4"/>
      <c r="G26" s="4"/>
      <c r="H26" s="9"/>
      <c r="I26" s="76"/>
      <c r="J26" s="9"/>
      <c r="K26" s="77"/>
      <c r="L26" s="51"/>
      <c r="M26" s="9"/>
      <c r="N26" s="51"/>
      <c r="O26" s="101"/>
      <c r="P26" s="50"/>
      <c r="Q26" s="50"/>
      <c r="R26" s="12"/>
      <c r="S26" s="107"/>
      <c r="T26" s="9"/>
      <c r="U26" s="9"/>
      <c r="V26" s="52"/>
      <c r="W26" s="9"/>
      <c r="X26" s="9"/>
      <c r="Y26" s="9"/>
      <c r="Z26" s="4"/>
      <c r="AA26" s="4"/>
      <c r="AB26" s="4"/>
      <c r="AC26" s="7"/>
      <c r="AD26" s="7"/>
      <c r="AE26" s="4"/>
      <c r="AF26" s="4"/>
      <c r="AG26" s="4"/>
      <c r="AH26" s="4"/>
      <c r="AI26" s="4"/>
      <c r="AJ26" s="4"/>
      <c r="AK26" s="4"/>
    </row>
    <row r="27" spans="1:63" ht="12.75" customHeight="1" x14ac:dyDescent="0.2">
      <c r="A27" s="4"/>
      <c r="B27" s="4"/>
      <c r="C27" s="4"/>
      <c r="D27" s="4"/>
      <c r="E27" s="4"/>
      <c r="F27" s="4"/>
      <c r="G27" s="4"/>
      <c r="H27" s="59"/>
      <c r="I27" s="4"/>
      <c r="J27" s="4"/>
      <c r="K27" s="4"/>
      <c r="L27" s="4"/>
      <c r="M27" s="4"/>
      <c r="N27" s="4"/>
      <c r="O27" s="9"/>
      <c r="P27" s="4"/>
      <c r="Q27" s="4"/>
      <c r="R27" s="4"/>
      <c r="S27" s="4"/>
      <c r="T27" s="4"/>
      <c r="U27" s="4"/>
      <c r="V27" s="4"/>
      <c r="W27" s="4"/>
      <c r="X27" s="4" t="s">
        <v>522</v>
      </c>
      <c r="Y27" s="4"/>
      <c r="Z27" s="473">
        <v>20</v>
      </c>
      <c r="AA27" s="4"/>
      <c r="AB27" s="4"/>
      <c r="AC27" s="4"/>
      <c r="AD27" s="7"/>
      <c r="AE27" s="4"/>
      <c r="AF27" s="4"/>
      <c r="AG27" s="4"/>
      <c r="AH27" s="4"/>
      <c r="AI27" s="4"/>
      <c r="AJ27" s="4"/>
      <c r="AK27" s="4"/>
    </row>
    <row r="28" spans="1:63" ht="15.95" customHeight="1" x14ac:dyDescent="0.2">
      <c r="A28" s="4"/>
      <c r="B28" s="4"/>
      <c r="C28" s="4"/>
      <c r="D28" s="4"/>
      <c r="E28" s="54"/>
      <c r="F28" s="9"/>
      <c r="G28" s="9"/>
      <c r="H28" s="54"/>
      <c r="I28" s="4"/>
      <c r="J28" s="4"/>
      <c r="K28" s="4"/>
      <c r="L28" s="32"/>
      <c r="M28" s="32"/>
      <c r="N28" s="32"/>
      <c r="O28" s="14"/>
      <c r="P28" s="32"/>
      <c r="Q28" s="78"/>
      <c r="R28" s="79"/>
      <c r="S28" s="105"/>
      <c r="T28" s="4"/>
      <c r="U28" s="4"/>
      <c r="V28" s="4"/>
      <c r="W28" s="4"/>
      <c r="X28" s="4"/>
      <c r="Y28" s="4"/>
      <c r="Z28" s="9"/>
      <c r="AA28" s="9"/>
      <c r="AB28" s="9"/>
      <c r="AC28" s="4"/>
      <c r="AD28" s="7"/>
      <c r="AE28" s="4"/>
      <c r="AF28" s="4"/>
      <c r="AG28" s="4"/>
      <c r="AH28" s="4"/>
      <c r="AI28" s="4"/>
      <c r="AJ28" s="4"/>
      <c r="AK28" s="4"/>
    </row>
    <row r="29" spans="1:63" ht="15.95" customHeight="1" x14ac:dyDescent="0.2">
      <c r="A29" s="4"/>
      <c r="B29" s="4"/>
      <c r="C29" s="4"/>
      <c r="D29" s="4"/>
      <c r="E29" s="9"/>
      <c r="F29" s="512">
        <f>U12</f>
        <v>1.1000000000000001</v>
      </c>
      <c r="G29" s="512"/>
      <c r="H29" s="9"/>
      <c r="I29" s="4"/>
      <c r="J29" s="510">
        <f>U10</f>
        <v>1</v>
      </c>
      <c r="K29" s="510"/>
      <c r="L29" s="32"/>
      <c r="M29" s="32"/>
      <c r="N29" s="32"/>
      <c r="O29" s="14"/>
      <c r="P29" s="515"/>
      <c r="Q29" s="515"/>
      <c r="S29" s="106"/>
      <c r="U29" s="4"/>
      <c r="V29" s="4"/>
      <c r="W29" s="4"/>
      <c r="X29" s="4"/>
      <c r="Y29" s="4"/>
      <c r="Z29" s="9"/>
      <c r="AC29" s="4"/>
      <c r="AD29" s="7"/>
      <c r="AE29" s="4"/>
      <c r="AF29" s="4"/>
      <c r="AG29" s="4"/>
      <c r="AH29" s="4"/>
      <c r="AI29" s="4"/>
      <c r="AJ29" s="4"/>
      <c r="AK29" s="4"/>
      <c r="BJ29" s="73">
        <f>R15+(((N42-R15)*F29)/(C36-G42))</f>
        <v>1.4797807237617899</v>
      </c>
      <c r="BK29" s="73"/>
    </row>
    <row r="30" spans="1:63" ht="15.95" customHeight="1" x14ac:dyDescent="0.2">
      <c r="A30" s="4"/>
      <c r="B30" s="4"/>
      <c r="C30" s="4"/>
      <c r="D30" s="4"/>
      <c r="E30" s="9"/>
      <c r="F30" s="50"/>
      <c r="G30" s="50"/>
      <c r="H30" s="9"/>
      <c r="I30" s="4"/>
      <c r="J30" s="4"/>
      <c r="K30" s="4"/>
      <c r="L30" s="32"/>
      <c r="M30" s="32"/>
      <c r="N30" s="32"/>
      <c r="O30" s="14"/>
      <c r="P30" s="14"/>
      <c r="Q30" s="78"/>
      <c r="R30" s="79"/>
      <c r="S30" s="107"/>
      <c r="T30" s="4"/>
      <c r="U30" s="602">
        <f>U11</f>
        <v>0.1</v>
      </c>
      <c r="V30" s="602"/>
      <c r="W30" s="4"/>
      <c r="X30" s="4"/>
      <c r="Y30" s="4"/>
      <c r="Z30" s="9"/>
      <c r="AC30" s="4"/>
      <c r="AD30" s="7"/>
      <c r="AE30" s="4"/>
      <c r="AF30" s="4"/>
      <c r="AG30" s="4"/>
      <c r="AH30" s="4"/>
      <c r="AI30" s="4"/>
      <c r="AJ30" s="4"/>
      <c r="AK30" s="4"/>
    </row>
    <row r="31" spans="1:63" ht="6" customHeight="1" x14ac:dyDescent="0.2">
      <c r="A31" s="4"/>
      <c r="B31" s="4"/>
      <c r="C31" s="4"/>
      <c r="D31" s="4"/>
      <c r="E31" s="9"/>
      <c r="F31" s="50"/>
      <c r="G31" s="50"/>
      <c r="H31" s="53"/>
      <c r="I31" s="4"/>
      <c r="J31" s="4"/>
      <c r="K31" s="4"/>
      <c r="L31" s="32"/>
      <c r="M31" s="32"/>
      <c r="N31" s="32"/>
      <c r="O31" s="14"/>
      <c r="P31" s="83"/>
      <c r="Q31" s="80"/>
      <c r="R31" s="108"/>
      <c r="S31" s="107"/>
      <c r="T31" s="4"/>
      <c r="U31" s="602"/>
      <c r="V31" s="602"/>
      <c r="W31" s="4"/>
      <c r="X31" s="4"/>
      <c r="Y31" s="4"/>
      <c r="Z31" s="9"/>
      <c r="AC31" s="4"/>
      <c r="AD31" s="7"/>
      <c r="AE31" s="4"/>
      <c r="AF31" s="4"/>
      <c r="AG31" s="4"/>
      <c r="AH31" s="4"/>
      <c r="AI31" s="4"/>
      <c r="AJ31" s="4"/>
      <c r="AK31" s="4"/>
    </row>
    <row r="32" spans="1:63" ht="15.95" customHeight="1" x14ac:dyDescent="0.2">
      <c r="A32" s="4"/>
      <c r="B32" s="4"/>
      <c r="C32" s="4"/>
      <c r="D32" s="4"/>
      <c r="E32" s="9"/>
      <c r="H32" s="9"/>
      <c r="I32" s="4"/>
      <c r="J32" s="4"/>
      <c r="K32" s="4"/>
      <c r="L32" s="32"/>
      <c r="M32" s="32"/>
      <c r="N32" s="32"/>
      <c r="O32" s="14"/>
      <c r="P32" s="14"/>
      <c r="Q32" s="15"/>
      <c r="R32" s="81"/>
      <c r="S32" s="9"/>
      <c r="T32" s="42"/>
      <c r="U32" s="4"/>
      <c r="V32" s="4"/>
      <c r="W32" s="4"/>
      <c r="X32" s="514"/>
      <c r="Y32" s="514"/>
      <c r="Z32" s="9"/>
      <c r="AA32" s="6"/>
      <c r="AB32" s="6"/>
      <c r="AC32" s="4"/>
      <c r="AD32" s="7"/>
      <c r="AE32" s="4"/>
      <c r="AF32" s="4"/>
      <c r="AG32" s="4"/>
      <c r="AH32" s="4"/>
      <c r="AI32" s="4"/>
      <c r="AJ32" s="4"/>
      <c r="AK32" s="4"/>
    </row>
    <row r="33" spans="1:37" ht="15.95" customHeight="1" x14ac:dyDescent="0.2">
      <c r="A33" s="4"/>
      <c r="B33" s="4"/>
      <c r="C33" s="4"/>
      <c r="D33" s="4"/>
      <c r="E33" s="9"/>
      <c r="H33" s="9"/>
      <c r="I33" s="4"/>
      <c r="J33" s="4"/>
      <c r="K33" s="4"/>
      <c r="L33" s="32"/>
      <c r="M33" s="32"/>
      <c r="N33" s="32"/>
      <c r="O33" s="14"/>
      <c r="P33" s="36"/>
      <c r="Q33" s="4"/>
      <c r="R33" s="36"/>
      <c r="S33" s="36"/>
      <c r="T33" s="109"/>
      <c r="U33" s="9"/>
      <c r="V33" s="4"/>
      <c r="W33" s="4"/>
      <c r="X33" s="4"/>
      <c r="Y33" s="4"/>
      <c r="Z33" s="9"/>
      <c r="AA33" s="6"/>
      <c r="AB33" s="6"/>
      <c r="AC33" s="4"/>
      <c r="AD33" s="7"/>
      <c r="AE33" s="4"/>
      <c r="AF33" s="4"/>
      <c r="AG33" s="4"/>
      <c r="AH33" s="4"/>
      <c r="AI33" s="4"/>
      <c r="AJ33" s="4"/>
      <c r="AK33" s="4"/>
    </row>
    <row r="34" spans="1:37" ht="15.95" customHeight="1" x14ac:dyDescent="0.2">
      <c r="A34" s="4"/>
      <c r="B34" s="4"/>
      <c r="C34" s="4"/>
      <c r="D34" s="4"/>
      <c r="E34" s="9"/>
      <c r="F34" s="9"/>
      <c r="G34" s="9"/>
      <c r="H34" s="9"/>
      <c r="I34" s="4"/>
      <c r="J34" s="4"/>
      <c r="K34" s="4"/>
      <c r="L34" s="32"/>
      <c r="O34" s="36"/>
      <c r="P34" s="14"/>
      <c r="Q34" s="9"/>
      <c r="S34" s="516"/>
      <c r="T34" s="516"/>
      <c r="U34" s="8"/>
      <c r="V34" s="1"/>
      <c r="W34" s="4"/>
      <c r="X34" s="4"/>
      <c r="Y34" s="4"/>
      <c r="Z34" s="9"/>
      <c r="AA34" s="6"/>
      <c r="AB34" s="6"/>
      <c r="AC34" s="4"/>
      <c r="AD34" s="7"/>
      <c r="AE34" s="4"/>
      <c r="AF34" s="4"/>
      <c r="AG34" s="4"/>
      <c r="AH34" s="4"/>
      <c r="AI34" s="4"/>
      <c r="AJ34" s="4"/>
      <c r="AK34" s="4"/>
    </row>
    <row r="35" spans="1:37" ht="15.95" customHeight="1" x14ac:dyDescent="0.2">
      <c r="A35" s="4"/>
      <c r="B35" s="4"/>
      <c r="C35" s="4"/>
      <c r="D35" s="4"/>
      <c r="E35" s="9"/>
      <c r="F35" s="9"/>
      <c r="G35" s="9"/>
      <c r="H35" s="9"/>
      <c r="I35" s="4"/>
      <c r="J35" s="4"/>
      <c r="K35" s="4"/>
      <c r="L35" s="32"/>
      <c r="M35" s="32"/>
      <c r="N35" s="4"/>
      <c r="O35" s="9"/>
      <c r="P35" s="14"/>
      <c r="Q35" s="9"/>
      <c r="R35" s="9"/>
      <c r="S35" s="9"/>
      <c r="T35" s="9"/>
      <c r="U35" s="42"/>
      <c r="V35" s="9"/>
      <c r="W35" s="4"/>
      <c r="X35" s="514"/>
      <c r="Y35" s="514"/>
      <c r="Z35" s="9"/>
      <c r="AA35" s="6"/>
      <c r="AB35" s="6"/>
      <c r="AC35" s="4"/>
      <c r="AD35" s="7"/>
      <c r="AE35" s="4"/>
      <c r="AF35" s="4"/>
      <c r="AG35" s="4"/>
      <c r="AH35" s="4"/>
      <c r="AI35" s="4"/>
      <c r="AJ35" s="507">
        <f>C36-J40</f>
        <v>4</v>
      </c>
      <c r="AK35" s="507"/>
    </row>
    <row r="36" spans="1:37" ht="15.95" customHeight="1" x14ac:dyDescent="0.2">
      <c r="A36" s="4"/>
      <c r="B36" s="4"/>
      <c r="C36" s="510">
        <f>U5</f>
        <v>4</v>
      </c>
      <c r="D36" s="510"/>
      <c r="E36" s="9"/>
      <c r="F36" s="9"/>
      <c r="G36" s="9"/>
      <c r="H36" s="9"/>
      <c r="I36" s="4"/>
      <c r="L36" s="32"/>
      <c r="M36" s="32"/>
      <c r="N36" s="32"/>
      <c r="O36" s="14"/>
      <c r="P36" s="521"/>
      <c r="Q36" s="521"/>
      <c r="R36" s="15"/>
      <c r="S36" s="81"/>
      <c r="T36" s="9"/>
      <c r="U36" s="42"/>
      <c r="V36" s="9"/>
      <c r="W36" s="9"/>
      <c r="Z36" s="9"/>
      <c r="AA36" s="511">
        <f>C36-G42-F29</f>
        <v>2.2999999999999998</v>
      </c>
      <c r="AB36" s="511"/>
      <c r="AC36" s="4"/>
      <c r="AD36" s="7"/>
      <c r="AE36" s="4"/>
      <c r="AF36" s="4"/>
      <c r="AG36" s="4"/>
      <c r="AH36" s="4"/>
      <c r="AI36" s="4"/>
      <c r="AJ36" s="4"/>
      <c r="AK36" s="4"/>
    </row>
    <row r="37" spans="1:37" ht="15.95" customHeight="1" x14ac:dyDescent="0.2">
      <c r="A37" s="4"/>
      <c r="B37" s="4"/>
      <c r="C37" s="4"/>
      <c r="D37" s="4"/>
      <c r="E37" s="9"/>
      <c r="H37" s="9"/>
      <c r="I37" s="4"/>
      <c r="J37" s="4"/>
      <c r="K37" s="4"/>
      <c r="L37" s="32"/>
      <c r="M37" s="32"/>
      <c r="N37" s="4"/>
      <c r="O37" s="9"/>
      <c r="P37" s="14"/>
      <c r="Q37" s="9"/>
      <c r="R37" s="15"/>
      <c r="S37" s="81"/>
      <c r="T37" s="9"/>
      <c r="U37" s="54"/>
      <c r="V37" s="42"/>
      <c r="W37" s="9"/>
      <c r="X37" s="516"/>
      <c r="Y37" s="516"/>
      <c r="Z37" s="9"/>
      <c r="AA37" s="6"/>
      <c r="AB37" s="6"/>
      <c r="AC37" s="4"/>
      <c r="AD37" s="7"/>
      <c r="AE37" s="4"/>
      <c r="AF37" s="4"/>
      <c r="AG37" s="4" t="s">
        <v>131</v>
      </c>
      <c r="AH37" s="4"/>
      <c r="AI37" s="507">
        <f>C36-J40-J38-J29</f>
        <v>3</v>
      </c>
      <c r="AJ37" s="507"/>
      <c r="AK37" s="4"/>
    </row>
    <row r="38" spans="1:37" ht="15.95" customHeight="1" x14ac:dyDescent="0.2">
      <c r="A38" s="4"/>
      <c r="B38" s="4"/>
      <c r="C38" s="4"/>
      <c r="D38" s="4"/>
      <c r="E38" s="9"/>
      <c r="F38" s="9"/>
      <c r="G38" s="9"/>
      <c r="H38" s="9"/>
      <c r="I38" s="4"/>
      <c r="J38" s="507"/>
      <c r="K38" s="507"/>
      <c r="L38" s="507"/>
      <c r="M38" s="32"/>
      <c r="N38" s="32"/>
      <c r="O38" s="14"/>
      <c r="P38" s="14"/>
      <c r="Q38" s="9"/>
      <c r="R38" s="15"/>
      <c r="S38" s="81"/>
      <c r="T38" s="9"/>
      <c r="U38" s="9"/>
      <c r="V38" s="42"/>
      <c r="W38" s="9"/>
      <c r="X38" s="518"/>
      <c r="Y38" s="518"/>
      <c r="Z38" s="9"/>
      <c r="AA38" s="9"/>
      <c r="AB38" s="9"/>
      <c r="AC38" s="4"/>
      <c r="AD38" s="7"/>
      <c r="AE38" s="4"/>
      <c r="AF38" s="4"/>
      <c r="AG38" s="4"/>
      <c r="AH38" s="4"/>
      <c r="AI38" s="4"/>
      <c r="AJ38" s="4"/>
      <c r="AK38" s="4"/>
    </row>
    <row r="39" spans="1:37" ht="15.95" customHeight="1" x14ac:dyDescent="0.2">
      <c r="A39" s="4"/>
      <c r="B39" s="4"/>
      <c r="C39" s="4"/>
      <c r="D39" s="4"/>
      <c r="E39" s="9"/>
      <c r="F39" s="9"/>
      <c r="G39" s="9"/>
      <c r="H39" s="9"/>
      <c r="I39" s="4"/>
      <c r="J39" s="4"/>
      <c r="K39" s="4"/>
      <c r="L39" s="32"/>
      <c r="M39" s="32"/>
      <c r="N39" s="32"/>
      <c r="O39" s="14"/>
      <c r="P39" s="14"/>
      <c r="Q39" s="9"/>
      <c r="R39" s="15"/>
      <c r="S39" s="81"/>
      <c r="T39" s="9"/>
      <c r="U39" s="82"/>
      <c r="V39" s="42"/>
      <c r="W39" s="9"/>
      <c r="X39" s="518"/>
      <c r="Y39" s="518"/>
      <c r="Z39" s="9"/>
      <c r="AA39" s="9"/>
      <c r="AB39" s="9"/>
      <c r="AC39" s="4"/>
      <c r="AD39" s="7"/>
      <c r="AE39" s="4"/>
      <c r="AF39" s="4"/>
      <c r="AG39" s="4"/>
      <c r="AH39" s="4"/>
      <c r="AI39" s="4"/>
      <c r="AJ39" s="4"/>
      <c r="AK39" s="4"/>
    </row>
    <row r="40" spans="1:37" ht="15.95" customHeight="1" x14ac:dyDescent="0.2">
      <c r="A40" s="4"/>
      <c r="B40" s="4"/>
      <c r="C40" s="4"/>
      <c r="D40" s="4"/>
      <c r="E40" s="9"/>
      <c r="F40" s="9"/>
      <c r="G40" s="9"/>
      <c r="H40" s="9"/>
      <c r="I40" s="4"/>
      <c r="J40" s="585"/>
      <c r="K40" s="585"/>
      <c r="L40" s="585"/>
      <c r="M40" s="32"/>
      <c r="N40" s="32"/>
      <c r="O40" s="14"/>
      <c r="P40" s="14"/>
      <c r="Q40" s="15"/>
      <c r="R40" s="81"/>
      <c r="U40" s="1"/>
      <c r="V40" s="42"/>
      <c r="W40" s="9"/>
      <c r="X40" s="9"/>
      <c r="Y40" s="9"/>
      <c r="Z40" s="9"/>
      <c r="AA40" s="9"/>
      <c r="AB40" s="9"/>
      <c r="AC40" s="4"/>
      <c r="AD40" s="7"/>
      <c r="AE40" s="4"/>
      <c r="AF40" s="4"/>
      <c r="AG40" s="4"/>
      <c r="AH40" s="4"/>
      <c r="AI40" s="4"/>
      <c r="AJ40" s="4"/>
      <c r="AK40" s="4"/>
    </row>
    <row r="41" spans="1:37" ht="15.95" customHeight="1" x14ac:dyDescent="0.2">
      <c r="A41" s="4"/>
      <c r="B41" s="4"/>
      <c r="C41" s="4"/>
      <c r="D41" s="4"/>
      <c r="E41" s="9"/>
      <c r="F41" s="9"/>
      <c r="G41" s="9"/>
      <c r="H41" s="9"/>
      <c r="I41" s="9"/>
      <c r="J41" s="70"/>
      <c r="K41" s="54"/>
      <c r="L41" s="37"/>
      <c r="M41" s="14"/>
      <c r="N41" s="14"/>
      <c r="O41" s="14"/>
      <c r="P41" s="14"/>
      <c r="Q41" s="15"/>
      <c r="R41" s="9"/>
      <c r="S41" s="9"/>
      <c r="T41" s="9"/>
      <c r="U41" s="600">
        <f>U8</f>
        <v>0.5</v>
      </c>
      <c r="V41" s="601"/>
      <c r="W41" s="9"/>
      <c r="X41" s="1"/>
      <c r="Y41" s="1"/>
      <c r="Z41" s="9"/>
      <c r="AA41" s="9"/>
      <c r="AB41" s="9"/>
      <c r="AC41" s="4"/>
      <c r="AD41" s="7"/>
      <c r="AE41" s="4"/>
      <c r="AF41" s="4"/>
      <c r="AG41" s="4"/>
      <c r="AH41" s="4"/>
      <c r="AI41" s="4"/>
      <c r="AJ41" s="4"/>
      <c r="AK41" s="4"/>
    </row>
    <row r="42" spans="1:37" ht="15.95" customHeight="1" x14ac:dyDescent="0.2">
      <c r="A42" s="4"/>
      <c r="B42" s="4"/>
      <c r="C42" s="4"/>
      <c r="D42" s="4"/>
      <c r="E42" s="9"/>
      <c r="F42" s="9"/>
      <c r="G42" s="582">
        <f>U7</f>
        <v>0.6</v>
      </c>
      <c r="H42" s="582"/>
      <c r="I42" s="9"/>
      <c r="J42" s="580">
        <f>O44-N42-Q42-R25-U41</f>
        <v>0.21286633506173946</v>
      </c>
      <c r="K42" s="511"/>
      <c r="L42" s="511"/>
      <c r="M42" s="14"/>
      <c r="N42" s="520">
        <f>AA36*TAN(Z27*3.1416/180)</f>
        <v>0.83713366493826058</v>
      </c>
      <c r="O42" s="520"/>
      <c r="P42" s="9"/>
      <c r="Q42" s="519">
        <f>U18</f>
        <v>0.75</v>
      </c>
      <c r="R42" s="519"/>
      <c r="S42" s="584"/>
      <c r="T42" s="584"/>
      <c r="U42" s="9"/>
      <c r="V42" s="52"/>
      <c r="W42" s="1"/>
      <c r="X42" s="1"/>
      <c r="Y42" s="1"/>
      <c r="Z42" s="12"/>
      <c r="AC42" s="50"/>
      <c r="AD42" s="7"/>
      <c r="AE42" s="4"/>
      <c r="AF42" s="4"/>
      <c r="AG42" s="4"/>
      <c r="AH42" s="4"/>
      <c r="AI42" s="4"/>
      <c r="AJ42" s="4"/>
      <c r="AK42" s="4"/>
    </row>
    <row r="43" spans="1:37" ht="15.95" customHeight="1" x14ac:dyDescent="0.2">
      <c r="A43" s="4"/>
      <c r="B43" s="4"/>
      <c r="C43" s="4"/>
      <c r="D43" s="4"/>
      <c r="E43" s="53"/>
      <c r="F43" s="9"/>
      <c r="G43" s="99"/>
      <c r="H43" s="99"/>
      <c r="I43" s="9"/>
      <c r="J43" s="55"/>
      <c r="K43" s="53"/>
      <c r="L43" s="83"/>
      <c r="M43" s="83"/>
      <c r="N43" s="83"/>
      <c r="O43" s="83"/>
      <c r="P43" s="83"/>
      <c r="Q43" s="80"/>
      <c r="R43" s="85"/>
      <c r="S43" s="53"/>
      <c r="T43" s="53"/>
      <c r="U43" s="53"/>
      <c r="V43" s="56"/>
      <c r="W43" s="9"/>
      <c r="X43" s="9"/>
      <c r="Y43" s="9"/>
      <c r="Z43" s="9"/>
      <c r="AC43" s="4"/>
      <c r="AD43" s="7"/>
      <c r="AE43" s="4"/>
      <c r="AF43" s="4"/>
      <c r="AG43" s="4"/>
      <c r="AH43" s="4"/>
      <c r="AI43" s="4"/>
      <c r="AJ43" s="4"/>
      <c r="AK43" s="4"/>
    </row>
    <row r="44" spans="1:37" ht="12.75" customHeight="1" x14ac:dyDescent="0.2">
      <c r="A44" s="4"/>
      <c r="B44" s="4"/>
      <c r="C44" s="4"/>
      <c r="D44" s="4"/>
      <c r="E44" s="4"/>
      <c r="F44" s="4"/>
      <c r="G44" s="4"/>
      <c r="H44" s="4"/>
      <c r="I44" s="9"/>
      <c r="J44" s="4"/>
      <c r="K44" s="4"/>
      <c r="L44" s="32"/>
      <c r="M44" s="32"/>
      <c r="N44" s="32"/>
      <c r="O44" s="583">
        <f>U6</f>
        <v>2.5</v>
      </c>
      <c r="P44" s="583"/>
      <c r="Q44" s="583"/>
      <c r="R44" s="583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7"/>
      <c r="AE44" s="4"/>
      <c r="AF44" s="4"/>
      <c r="AG44" s="4"/>
      <c r="AH44" s="4"/>
      <c r="AI44" s="4"/>
      <c r="AJ44" s="4"/>
      <c r="AK44" s="4"/>
    </row>
    <row r="45" spans="1:37" ht="9.75" customHeight="1" x14ac:dyDescent="0.2">
      <c r="A45" s="4"/>
      <c r="B45" s="4"/>
      <c r="C45" s="4"/>
      <c r="D45" s="4"/>
      <c r="E45" s="4"/>
      <c r="F45" s="4"/>
      <c r="G45" s="4"/>
      <c r="H45" s="4"/>
      <c r="I45" s="9"/>
      <c r="J45" s="9"/>
      <c r="K45" s="9"/>
      <c r="L45" s="14"/>
      <c r="M45" s="14"/>
      <c r="N45" s="14"/>
      <c r="O45" s="40"/>
      <c r="P45" s="40"/>
      <c r="Q45" s="15"/>
      <c r="R45" s="81"/>
      <c r="S45" s="9"/>
      <c r="T45" s="9"/>
      <c r="U45" s="9"/>
      <c r="V45" s="9"/>
      <c r="W45" s="9"/>
      <c r="X45" s="9"/>
      <c r="Y45" s="4"/>
      <c r="Z45" s="4"/>
      <c r="AA45" s="4"/>
      <c r="AB45" s="4"/>
      <c r="AC45" s="7"/>
      <c r="AD45" s="7"/>
      <c r="AE45" s="4"/>
      <c r="AF45" s="4"/>
      <c r="AG45" s="4"/>
      <c r="AH45" s="4"/>
      <c r="AI45" s="4"/>
      <c r="AJ45" s="4"/>
      <c r="AK45" s="4"/>
    </row>
    <row r="46" spans="1:37" ht="9.75" customHeight="1" x14ac:dyDescent="0.2">
      <c r="A46" s="72">
        <v>2</v>
      </c>
      <c r="B46" s="59"/>
      <c r="C46" s="59" t="s">
        <v>19</v>
      </c>
      <c r="D46" s="59"/>
      <c r="E46" s="4"/>
      <c r="F46" s="4"/>
      <c r="G46" s="4"/>
      <c r="H46" s="4"/>
      <c r="I46" s="86"/>
      <c r="J46" s="86"/>
      <c r="K46" s="87"/>
      <c r="L46" s="88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4"/>
      <c r="AF46" s="4"/>
      <c r="AG46" s="4"/>
      <c r="AH46" s="4"/>
      <c r="AI46" s="4"/>
      <c r="AJ46" s="4"/>
      <c r="AK46" s="4"/>
    </row>
    <row r="47" spans="1:37" ht="9.75" customHeight="1" x14ac:dyDescent="0.2">
      <c r="A47" s="7"/>
      <c r="B47" s="7"/>
      <c r="C47" s="59" t="s">
        <v>34</v>
      </c>
      <c r="D47" s="4"/>
      <c r="E47" s="4"/>
      <c r="F47" s="4"/>
      <c r="G47" s="4"/>
      <c r="H47" s="4"/>
      <c r="I47" s="4"/>
      <c r="J47" s="4"/>
      <c r="K47" s="4"/>
      <c r="L47" s="4"/>
      <c r="M47" s="6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7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9.75" customHeight="1" x14ac:dyDescent="0.25">
      <c r="A48" s="7"/>
      <c r="B48" s="7"/>
      <c r="C48" s="4" t="s">
        <v>20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69"/>
      <c r="O48" s="4"/>
      <c r="P48" s="11" t="s">
        <v>138</v>
      </c>
      <c r="Q48" s="43" t="s">
        <v>170</v>
      </c>
      <c r="R48" s="524">
        <v>1.8</v>
      </c>
      <c r="S48" s="524"/>
      <c r="T48" s="4" t="s">
        <v>21</v>
      </c>
      <c r="U48" s="4"/>
      <c r="V48" s="4"/>
      <c r="W48" s="153" t="s">
        <v>4</v>
      </c>
      <c r="X48" s="153"/>
      <c r="Y48" s="522">
        <v>0.3</v>
      </c>
      <c r="Z48" s="522"/>
      <c r="AA48" s="4"/>
      <c r="AB48" s="4"/>
      <c r="AC48" s="4"/>
      <c r="AD48" s="4"/>
      <c r="AE48" s="89"/>
      <c r="AF48" s="89"/>
      <c r="AG48" s="4"/>
      <c r="AH48" s="4"/>
      <c r="AI48" s="4"/>
      <c r="AJ48" s="4"/>
      <c r="AK48" s="4"/>
    </row>
    <row r="49" spans="1:37" ht="9.75" customHeight="1" x14ac:dyDescent="0.25">
      <c r="A49" s="7"/>
      <c r="B49" s="7"/>
      <c r="C49" s="4" t="s">
        <v>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1" t="s">
        <v>139</v>
      </c>
      <c r="Q49" s="43" t="s">
        <v>170</v>
      </c>
      <c r="R49" s="523">
        <v>2.4</v>
      </c>
      <c r="S49" s="523"/>
      <c r="T49" s="4" t="s">
        <v>21</v>
      </c>
      <c r="U49" s="4"/>
      <c r="V49" s="4"/>
      <c r="W49" s="153" t="s">
        <v>184</v>
      </c>
      <c r="X49" s="153"/>
      <c r="Y49" s="522">
        <v>1.2</v>
      </c>
      <c r="Z49" s="522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ht="9.75" customHeight="1" x14ac:dyDescent="0.2">
      <c r="A50" s="7"/>
      <c r="B50" s="7"/>
      <c r="C50" s="4" t="s">
        <v>23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 t="s">
        <v>171</v>
      </c>
      <c r="Q50" s="43" t="s">
        <v>170</v>
      </c>
      <c r="R50" s="525">
        <v>210</v>
      </c>
      <c r="S50" s="525"/>
      <c r="T50" s="4" t="s">
        <v>3</v>
      </c>
      <c r="U50" s="4"/>
      <c r="V50" s="4"/>
      <c r="W50" s="4" t="s">
        <v>516</v>
      </c>
      <c r="X50" s="4"/>
      <c r="Y50" s="472">
        <v>2.8</v>
      </c>
      <c r="Z50" s="7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ht="9.75" customHeight="1" x14ac:dyDescent="0.2">
      <c r="A51" s="7"/>
      <c r="B51" s="7"/>
      <c r="C51" s="4" t="s">
        <v>24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 t="s">
        <v>172</v>
      </c>
      <c r="Q51" s="43" t="s">
        <v>170</v>
      </c>
      <c r="R51" s="525">
        <v>4200</v>
      </c>
      <c r="S51" s="525"/>
      <c r="T51" s="4" t="s">
        <v>3</v>
      </c>
      <c r="U51" s="4"/>
      <c r="V51" s="4"/>
      <c r="W51" s="4" t="s">
        <v>517</v>
      </c>
      <c r="X51" s="4"/>
      <c r="Y51" s="4">
        <f>Y50*3</f>
        <v>8.3999999999999986</v>
      </c>
      <c r="Z51" s="7" t="s">
        <v>3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ht="9.75" customHeight="1" x14ac:dyDescent="0.2">
      <c r="A52" s="7"/>
      <c r="B52" s="7"/>
      <c r="C52" s="4" t="s">
        <v>25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69" t="s">
        <v>58</v>
      </c>
      <c r="Q52" s="43" t="s">
        <v>170</v>
      </c>
      <c r="R52" s="525">
        <v>29</v>
      </c>
      <c r="S52" s="525"/>
      <c r="T52" s="75" t="s">
        <v>85</v>
      </c>
      <c r="U52" s="4"/>
      <c r="V52" s="4"/>
      <c r="W52" s="4"/>
      <c r="X52" s="4"/>
      <c r="Y52" s="4"/>
      <c r="Z52" s="7"/>
      <c r="AA52" s="4"/>
      <c r="AB52" s="4"/>
      <c r="AC52" s="4"/>
      <c r="AD52" s="4"/>
      <c r="AE52" s="89"/>
      <c r="AF52" s="89"/>
      <c r="AG52" s="4"/>
      <c r="AH52" s="4"/>
      <c r="AI52" s="4"/>
      <c r="AJ52" s="4"/>
      <c r="AK52" s="4"/>
    </row>
    <row r="53" spans="1:37" ht="9.75" customHeight="1" x14ac:dyDescent="0.2">
      <c r="A53" s="7"/>
      <c r="B53" s="7"/>
      <c r="C53" s="4" t="s">
        <v>26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9" t="s">
        <v>179</v>
      </c>
      <c r="Q53" s="43" t="s">
        <v>170</v>
      </c>
      <c r="R53" s="523">
        <v>86.41</v>
      </c>
      <c r="S53" s="525"/>
      <c r="T53" s="4" t="s">
        <v>1</v>
      </c>
      <c r="U53" s="4"/>
      <c r="V53" s="4"/>
      <c r="W53" s="4"/>
      <c r="X53" s="4"/>
      <c r="Y53" s="4"/>
      <c r="Z53" s="7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ht="9.75" customHeight="1" x14ac:dyDescent="0.2">
      <c r="A54" s="7"/>
      <c r="B54" s="7"/>
      <c r="C54" s="4" t="s">
        <v>39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9" t="s">
        <v>180</v>
      </c>
      <c r="Q54" s="43" t="s">
        <v>170</v>
      </c>
      <c r="R54" s="523">
        <v>5.12</v>
      </c>
      <c r="S54" s="523"/>
      <c r="T54" s="4" t="s">
        <v>1</v>
      </c>
      <c r="U54" s="4"/>
      <c r="V54" s="4"/>
      <c r="W54" s="4"/>
      <c r="X54" s="4"/>
      <c r="Y54" s="4"/>
      <c r="Z54" s="7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ht="9.75" customHeight="1" x14ac:dyDescent="0.2">
      <c r="A55" s="7"/>
      <c r="B55" s="7"/>
      <c r="C55" s="4" t="s">
        <v>27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9" t="s">
        <v>28</v>
      </c>
      <c r="Q55" s="43" t="s">
        <v>170</v>
      </c>
      <c r="R55" s="523">
        <v>34.74</v>
      </c>
      <c r="S55" s="523"/>
      <c r="T55" s="4" t="s">
        <v>1</v>
      </c>
      <c r="U55" s="4"/>
      <c r="V55" s="4"/>
      <c r="W55" s="4"/>
      <c r="X55" s="4"/>
      <c r="Y55" s="4"/>
      <c r="Z55" s="7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ht="9.75" customHeight="1" x14ac:dyDescent="0.2">
      <c r="A56" s="7"/>
      <c r="B56" s="7"/>
      <c r="C56" s="4" t="s">
        <v>108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9" t="s">
        <v>109</v>
      </c>
      <c r="Q56" s="43" t="s">
        <v>170</v>
      </c>
      <c r="R56" s="523">
        <v>19</v>
      </c>
      <c r="S56" s="525"/>
      <c r="T56" s="4" t="s">
        <v>1</v>
      </c>
      <c r="U56" s="4"/>
      <c r="V56" s="4"/>
      <c r="W56" s="4"/>
      <c r="X56" s="4"/>
      <c r="Y56" s="4"/>
      <c r="Z56" s="7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ht="9.75" hidden="1" customHeight="1" x14ac:dyDescent="0.2">
      <c r="A57" s="7"/>
      <c r="B57" s="7"/>
      <c r="C57" s="4" t="s">
        <v>126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9" t="s">
        <v>30</v>
      </c>
      <c r="Q57" s="43" t="s">
        <v>170</v>
      </c>
      <c r="R57" s="523" t="e">
        <f>#REF!</f>
        <v>#REF!</v>
      </c>
      <c r="S57" s="523"/>
      <c r="T57" s="4" t="s">
        <v>1</v>
      </c>
      <c r="U57" s="4"/>
      <c r="V57" s="4"/>
      <c r="W57" s="4"/>
      <c r="X57" s="4"/>
      <c r="Y57" s="4"/>
      <c r="Z57" s="7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ht="9.75" customHeight="1" x14ac:dyDescent="0.2">
      <c r="A58" s="4"/>
      <c r="B58" s="4"/>
      <c r="C58" s="4" t="s">
        <v>29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9" t="s">
        <v>174</v>
      </c>
      <c r="Q58" s="43" t="s">
        <v>170</v>
      </c>
      <c r="R58" s="523">
        <v>14.2</v>
      </c>
      <c r="S58" s="523"/>
      <c r="T58" s="4" t="s">
        <v>168</v>
      </c>
      <c r="U58" s="4"/>
      <c r="V58" s="4"/>
      <c r="W58" s="4"/>
      <c r="X58" s="4"/>
      <c r="Y58" s="4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ht="9.75" customHeight="1" x14ac:dyDescent="0.2">
      <c r="A59" s="4"/>
      <c r="B59" s="4"/>
      <c r="C59" s="4"/>
      <c r="D59" s="4"/>
      <c r="E59" s="4"/>
      <c r="F59" s="59"/>
      <c r="G59" s="4"/>
      <c r="H59" s="4"/>
      <c r="I59" s="32"/>
      <c r="J59" s="32"/>
      <c r="K59" s="32"/>
      <c r="L59" s="32"/>
      <c r="M59" s="32"/>
      <c r="N59" s="78"/>
      <c r="O59" s="7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7" ht="9.75" customHeight="1" x14ac:dyDescent="0.2">
      <c r="A60" s="4"/>
      <c r="B60" s="4"/>
      <c r="C60" s="4"/>
      <c r="D60" s="4"/>
      <c r="E60" s="4"/>
      <c r="F60" s="59"/>
      <c r="G60" s="4"/>
      <c r="H60" s="4"/>
      <c r="I60" s="32"/>
      <c r="J60" s="32"/>
      <c r="K60" s="32"/>
      <c r="L60" s="32"/>
      <c r="M60" s="32"/>
      <c r="N60" s="78"/>
      <c r="O60" s="79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7" ht="9.75" customHeight="1" x14ac:dyDescent="0.2">
      <c r="A61" s="4"/>
      <c r="B61" s="4"/>
      <c r="C61" s="4"/>
      <c r="D61" s="4"/>
      <c r="E61" s="4"/>
      <c r="F61" s="59"/>
      <c r="G61" s="4"/>
      <c r="H61" s="4"/>
      <c r="I61" s="32"/>
      <c r="J61" s="32"/>
      <c r="K61" s="32"/>
      <c r="L61" s="32"/>
      <c r="M61" s="32"/>
      <c r="N61" s="78"/>
      <c r="O61" s="7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7" ht="9.75" customHeight="1" x14ac:dyDescent="0.2">
      <c r="A62" s="4"/>
      <c r="B62" s="4"/>
      <c r="C62" s="4"/>
      <c r="D62" s="4"/>
      <c r="E62" s="4"/>
      <c r="F62" s="59"/>
      <c r="G62" s="4"/>
      <c r="H62" s="4"/>
      <c r="I62" s="32"/>
      <c r="J62" s="32"/>
      <c r="K62" s="32"/>
      <c r="L62" s="32"/>
      <c r="M62" s="32"/>
      <c r="N62" s="78"/>
      <c r="O62" s="7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7" ht="9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59"/>
      <c r="M63" s="4"/>
      <c r="N63" s="4"/>
      <c r="O63" s="51"/>
      <c r="P63" s="4" t="s">
        <v>30</v>
      </c>
      <c r="Q63" s="4"/>
      <c r="S63" s="4"/>
      <c r="T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7" ht="9.75" customHeight="1" x14ac:dyDescent="0.2">
      <c r="A64" s="4"/>
      <c r="B64" s="4"/>
      <c r="C64" s="4"/>
      <c r="D64" s="4"/>
      <c r="E64" s="4"/>
      <c r="F64" s="4"/>
      <c r="G64" s="4"/>
      <c r="H64" s="4"/>
      <c r="J64" s="9"/>
      <c r="K64" s="518">
        <v>1.8</v>
      </c>
      <c r="L64" s="518"/>
      <c r="M64" s="48"/>
      <c r="N64" s="48"/>
      <c r="O64" s="48"/>
      <c r="P64" s="12"/>
      <c r="Q64" s="12"/>
      <c r="R64" s="9"/>
      <c r="S64" s="53"/>
      <c r="T64" s="4" t="s">
        <v>56</v>
      </c>
      <c r="U64" s="9"/>
      <c r="W64" s="1"/>
      <c r="X64" s="1"/>
      <c r="AC64" s="4"/>
      <c r="AD64" s="4"/>
      <c r="AE64" s="4"/>
      <c r="AF64" s="4"/>
      <c r="AG64" s="4"/>
      <c r="AH64" s="4"/>
      <c r="AI64" s="4"/>
    </row>
    <row r="65" spans="1:49" ht="9.75" customHeight="1" x14ac:dyDescent="0.2">
      <c r="A65" s="4"/>
      <c r="B65" s="4"/>
      <c r="C65" s="4"/>
      <c r="D65" s="10"/>
      <c r="E65" s="10"/>
      <c r="F65" s="4"/>
      <c r="G65" s="4"/>
      <c r="H65" s="4"/>
      <c r="I65" s="59"/>
      <c r="J65" s="9"/>
      <c r="K65" s="100"/>
      <c r="L65" s="100"/>
      <c r="M65" s="9"/>
      <c r="N65" s="9"/>
      <c r="O65" s="9"/>
      <c r="P65" s="4"/>
      <c r="R65" s="115"/>
      <c r="S65" s="112"/>
      <c r="T65" s="112"/>
      <c r="U65" s="9"/>
      <c r="V65" s="9"/>
      <c r="W65" s="1"/>
      <c r="X65" s="1"/>
      <c r="Y65" s="9"/>
      <c r="AC65" s="4"/>
      <c r="AD65" s="4"/>
      <c r="AE65" s="4"/>
      <c r="AF65" s="4"/>
      <c r="AG65" s="4"/>
      <c r="AH65" s="4"/>
      <c r="AI65" s="4"/>
      <c r="AS65" s="3"/>
      <c r="AT65" s="3"/>
      <c r="AU65" s="3"/>
      <c r="AV65" s="3"/>
      <c r="AW65" s="3"/>
    </row>
    <row r="66" spans="1:49" ht="15.95" customHeight="1" x14ac:dyDescent="0.2">
      <c r="A66" s="2"/>
      <c r="B66" s="3"/>
      <c r="C66" s="3"/>
      <c r="D66" s="2"/>
      <c r="E66" s="2"/>
      <c r="F66" s="2"/>
      <c r="G66" s="1"/>
      <c r="H66" s="1"/>
      <c r="I66" s="2"/>
      <c r="J66" s="2"/>
      <c r="K66" s="78" t="s">
        <v>107</v>
      </c>
      <c r="N66" s="102"/>
      <c r="O66" s="102"/>
      <c r="Q66" s="116"/>
      <c r="R66" s="132"/>
      <c r="S66" s="125"/>
      <c r="T66" s="125"/>
      <c r="U66" s="120"/>
      <c r="V66" s="128"/>
      <c r="W66" s="2"/>
      <c r="X66" s="2"/>
      <c r="Y66" s="3"/>
      <c r="AC66" s="3"/>
      <c r="AD66" s="3"/>
      <c r="AS66" s="2"/>
      <c r="AT66" s="2"/>
      <c r="AU66" s="3"/>
      <c r="AV66" s="3"/>
      <c r="AW66" s="3"/>
    </row>
    <row r="67" spans="1:49" ht="15.95" customHeight="1" x14ac:dyDescent="0.2">
      <c r="A67" s="2"/>
      <c r="B67" s="3"/>
      <c r="C67" s="3"/>
      <c r="D67" s="18"/>
      <c r="E67" s="18"/>
      <c r="F67" s="2"/>
      <c r="G67" s="1"/>
      <c r="H67" s="1"/>
      <c r="I67" s="2"/>
      <c r="J67" s="2"/>
      <c r="K67" s="3"/>
      <c r="L67" s="25"/>
      <c r="M67" s="25"/>
      <c r="N67" s="32"/>
      <c r="P67" s="14"/>
      <c r="Q67" s="34">
        <v>1</v>
      </c>
      <c r="R67" s="133"/>
      <c r="S67" s="136" t="s">
        <v>40</v>
      </c>
      <c r="T67" s="126"/>
      <c r="U67" s="120"/>
      <c r="V67" s="128"/>
      <c r="W67" s="18"/>
      <c r="X67" s="18"/>
      <c r="Y67" s="3"/>
      <c r="AC67" s="3"/>
      <c r="AD67" s="3"/>
      <c r="AS67" s="18"/>
      <c r="AT67" s="18"/>
      <c r="AU67" s="3"/>
      <c r="AV67" s="3"/>
      <c r="AW67" s="3"/>
    </row>
    <row r="68" spans="1:49" ht="15.95" customHeight="1" x14ac:dyDescent="0.2">
      <c r="A68" s="2"/>
      <c r="B68" s="3"/>
      <c r="C68" s="3"/>
      <c r="D68" s="2"/>
      <c r="E68" s="2"/>
      <c r="F68" s="2"/>
      <c r="G68" s="1"/>
      <c r="H68" s="1"/>
      <c r="I68" s="2"/>
      <c r="J68" s="2"/>
      <c r="K68" s="3" t="s">
        <v>93</v>
      </c>
      <c r="N68" s="32"/>
      <c r="O68" s="14"/>
      <c r="P68" s="84"/>
      <c r="Q68" s="117"/>
      <c r="R68" s="33">
        <v>8</v>
      </c>
      <c r="S68" s="39"/>
      <c r="T68" s="39"/>
      <c r="U68" s="120"/>
      <c r="V68" s="128"/>
      <c r="W68" s="2"/>
      <c r="X68" s="113"/>
      <c r="Y68" s="3"/>
      <c r="AC68" s="3"/>
      <c r="AD68" s="3"/>
      <c r="AS68" s="2"/>
      <c r="AT68" s="2"/>
      <c r="AU68" s="3"/>
      <c r="AV68" s="3"/>
      <c r="AW68" s="3"/>
    </row>
    <row r="69" spans="1:49" ht="15.95" customHeight="1" x14ac:dyDescent="0.2">
      <c r="A69" s="2"/>
      <c r="B69" s="3"/>
      <c r="C69" s="3"/>
      <c r="D69" s="2"/>
      <c r="E69" s="2"/>
      <c r="F69" s="2"/>
      <c r="G69" s="1"/>
      <c r="H69" s="1"/>
      <c r="I69" s="2"/>
      <c r="J69" s="2"/>
      <c r="K69" s="3"/>
      <c r="M69" s="130"/>
      <c r="N69" s="37"/>
      <c r="O69" s="37"/>
      <c r="P69" s="14"/>
      <c r="R69" s="134"/>
      <c r="S69" s="126"/>
      <c r="T69" s="126"/>
      <c r="U69" s="120"/>
      <c r="V69" s="128"/>
      <c r="W69" s="2"/>
      <c r="X69" s="2"/>
      <c r="Y69" s="3"/>
      <c r="AC69" s="3"/>
      <c r="AD69" s="3"/>
      <c r="AS69" s="2"/>
      <c r="AT69" s="2"/>
      <c r="AU69" s="3"/>
      <c r="AV69" s="3"/>
      <c r="AW69" s="3"/>
    </row>
    <row r="70" spans="1:49" ht="15.95" customHeight="1" x14ac:dyDescent="0.2">
      <c r="A70" s="2"/>
      <c r="B70" s="3"/>
      <c r="C70" s="3"/>
      <c r="D70" s="23"/>
      <c r="E70" s="23"/>
      <c r="F70" s="2"/>
      <c r="G70" s="1"/>
      <c r="H70" s="1"/>
      <c r="I70" s="2"/>
      <c r="J70" s="2"/>
      <c r="K70" s="3"/>
      <c r="L70" s="25"/>
      <c r="M70" s="130"/>
      <c r="N70" s="33"/>
      <c r="Q70" s="118"/>
      <c r="R70" s="135"/>
      <c r="S70" s="131"/>
      <c r="T70" s="126"/>
      <c r="U70" s="120"/>
      <c r="V70" s="128"/>
      <c r="W70" s="2"/>
      <c r="X70" s="2"/>
      <c r="Y70" s="3"/>
      <c r="AC70" s="3"/>
      <c r="AD70" s="3"/>
      <c r="AS70" s="2"/>
      <c r="AT70" s="2"/>
      <c r="AU70" s="3"/>
      <c r="AV70" s="3"/>
      <c r="AW70" s="3"/>
    </row>
    <row r="71" spans="1:49" ht="15.95" customHeight="1" x14ac:dyDescent="0.2">
      <c r="A71" s="2"/>
      <c r="B71" s="3"/>
      <c r="C71" s="3"/>
      <c r="D71" s="2"/>
      <c r="E71" s="2"/>
      <c r="F71" s="2"/>
      <c r="G71" s="1"/>
      <c r="H71" s="1"/>
      <c r="I71" s="2"/>
      <c r="J71" s="2"/>
      <c r="K71" s="31"/>
      <c r="L71" s="31"/>
      <c r="M71" s="130"/>
      <c r="N71" s="35"/>
      <c r="O71" s="36"/>
      <c r="P71" s="138"/>
      <c r="Q71" s="140"/>
      <c r="R71" s="27"/>
      <c r="S71" s="128"/>
      <c r="T71" s="126"/>
      <c r="U71" s="120"/>
      <c r="V71" s="128"/>
      <c r="W71" s="2"/>
      <c r="X71" s="2"/>
      <c r="Y71" s="3"/>
      <c r="AC71" s="3"/>
      <c r="AD71" s="3"/>
      <c r="AS71" s="2"/>
      <c r="AT71" s="2"/>
      <c r="AU71" s="3"/>
      <c r="AV71" s="3"/>
      <c r="AW71" s="3"/>
    </row>
    <row r="72" spans="1:49" ht="15.95" customHeight="1" x14ac:dyDescent="0.3">
      <c r="A72" s="2"/>
      <c r="B72" s="3"/>
      <c r="C72" s="3"/>
      <c r="D72" s="2"/>
      <c r="E72" s="2"/>
      <c r="F72" s="2"/>
      <c r="G72" s="1"/>
      <c r="H72" s="104"/>
      <c r="I72" s="2"/>
      <c r="J72" s="2"/>
      <c r="K72" s="3"/>
      <c r="L72" s="25"/>
      <c r="M72" s="130"/>
      <c r="N72" s="36"/>
      <c r="O72" s="38"/>
      <c r="P72" s="138"/>
      <c r="Q72" s="140"/>
      <c r="R72" s="27"/>
      <c r="S72" s="128"/>
      <c r="T72" s="126"/>
      <c r="U72" s="120"/>
      <c r="V72" s="104" t="s">
        <v>54</v>
      </c>
      <c r="W72" s="2"/>
      <c r="X72" s="2"/>
      <c r="Y72" s="3"/>
      <c r="AC72" s="3"/>
      <c r="AD72" s="3"/>
      <c r="AS72" s="2"/>
      <c r="AT72" s="2"/>
      <c r="AU72" s="3"/>
      <c r="AV72" s="3"/>
      <c r="AW72" s="3"/>
    </row>
    <row r="73" spans="1:49" ht="15.95" customHeight="1" x14ac:dyDescent="0.2">
      <c r="A73" s="2"/>
      <c r="B73" s="19"/>
      <c r="C73" s="23"/>
      <c r="D73" s="2"/>
      <c r="E73" s="2"/>
      <c r="F73" s="2"/>
      <c r="G73" s="1"/>
      <c r="I73" s="2"/>
      <c r="J73" s="2"/>
      <c r="K73" s="3"/>
      <c r="M73" s="130"/>
      <c r="N73" s="32"/>
      <c r="O73" s="14"/>
      <c r="P73" s="139"/>
      <c r="Q73" s="140"/>
      <c r="R73" s="27"/>
      <c r="S73" s="137"/>
      <c r="T73" s="126"/>
      <c r="U73" s="120"/>
      <c r="V73" s="128"/>
      <c r="W73" s="28"/>
      <c r="X73" s="28"/>
      <c r="Y73" s="3"/>
      <c r="AA73" s="1"/>
      <c r="AC73" s="3"/>
      <c r="AD73" s="3"/>
      <c r="AS73" s="28"/>
      <c r="AT73" s="28"/>
      <c r="AU73" s="3"/>
      <c r="AV73" s="3"/>
      <c r="AW73" s="3"/>
    </row>
    <row r="74" spans="1:49" ht="15.95" customHeight="1" x14ac:dyDescent="0.2">
      <c r="A74" s="2"/>
      <c r="B74" s="3"/>
      <c r="C74" s="3"/>
      <c r="D74" s="28"/>
      <c r="E74" s="28"/>
      <c r="F74" s="2"/>
      <c r="G74" s="1"/>
      <c r="H74" s="1"/>
      <c r="I74" s="2"/>
      <c r="J74" s="2"/>
      <c r="K74" s="3"/>
      <c r="L74" s="102"/>
      <c r="M74" s="130"/>
      <c r="N74" s="32"/>
      <c r="P74" s="138"/>
      <c r="Q74" s="140"/>
      <c r="R74" s="114"/>
      <c r="S74" s="119"/>
      <c r="T74" s="127"/>
      <c r="V74" s="128"/>
      <c r="W74" s="2"/>
      <c r="X74" s="2"/>
      <c r="Y74" s="3"/>
      <c r="AA74" s="3" t="s">
        <v>41</v>
      </c>
      <c r="AC74" s="3"/>
      <c r="AD74" s="3"/>
      <c r="AS74" s="2"/>
      <c r="AT74" s="2"/>
      <c r="AU74" s="3"/>
      <c r="AV74" s="3"/>
      <c r="AW74" s="3"/>
    </row>
    <row r="75" spans="1:49" ht="15.95" customHeight="1" x14ac:dyDescent="0.3">
      <c r="B75" s="3"/>
      <c r="C75" s="3"/>
      <c r="D75" s="2"/>
      <c r="E75" s="2"/>
      <c r="F75" s="2"/>
      <c r="G75" s="1"/>
      <c r="H75" s="1"/>
      <c r="I75" s="2"/>
      <c r="J75" s="2"/>
      <c r="K75" s="3"/>
      <c r="L75" s="142">
        <v>2</v>
      </c>
      <c r="M75" s="127"/>
      <c r="N75" s="32"/>
      <c r="O75" s="103">
        <v>3</v>
      </c>
      <c r="P75" s="14"/>
      <c r="Q75" s="143"/>
      <c r="R75" s="114"/>
      <c r="S75" s="124" t="s">
        <v>55</v>
      </c>
      <c r="T75" s="128"/>
      <c r="U75" s="120"/>
      <c r="V75" s="128"/>
      <c r="W75" s="2"/>
      <c r="X75" s="2"/>
      <c r="Y75" s="3"/>
      <c r="AC75" s="3"/>
      <c r="AD75" s="3"/>
      <c r="AS75" s="2"/>
      <c r="AT75" s="2"/>
      <c r="AU75" s="3"/>
      <c r="AV75" s="3"/>
      <c r="AW75" s="3"/>
    </row>
    <row r="76" spans="1:49" ht="15.95" customHeight="1" x14ac:dyDescent="0.2">
      <c r="A76" s="2"/>
      <c r="B76" s="3"/>
      <c r="C76" s="3"/>
      <c r="D76" s="2"/>
      <c r="E76" s="2"/>
      <c r="F76" s="2"/>
      <c r="G76" s="1"/>
      <c r="H76" s="1"/>
      <c r="I76" s="2"/>
      <c r="J76" s="2"/>
      <c r="K76" s="3"/>
      <c r="L76" s="25"/>
      <c r="M76" s="130"/>
      <c r="N76" s="32"/>
      <c r="O76" s="39"/>
      <c r="P76" s="138"/>
      <c r="Q76" s="140"/>
      <c r="R76" s="141"/>
      <c r="S76" s="38"/>
      <c r="T76" s="128"/>
      <c r="U76" s="120"/>
      <c r="V76" s="128"/>
      <c r="W76" s="2"/>
      <c r="X76" s="2"/>
      <c r="Y76" s="3"/>
      <c r="AC76" s="3"/>
      <c r="AD76" s="3"/>
      <c r="AS76" s="2"/>
      <c r="AT76" s="2"/>
      <c r="AU76" s="3"/>
      <c r="AV76" s="3"/>
      <c r="AW76" s="3"/>
    </row>
    <row r="77" spans="1:49" ht="15.95" customHeight="1" x14ac:dyDescent="0.2">
      <c r="A77" s="2"/>
      <c r="B77" s="3"/>
      <c r="C77" s="3"/>
      <c r="D77" s="2"/>
      <c r="E77" s="2"/>
      <c r="F77" s="2"/>
      <c r="G77" s="1"/>
      <c r="H77" s="1"/>
      <c r="I77" s="129"/>
      <c r="J77" s="2"/>
      <c r="K77" s="144"/>
      <c r="L77" s="145"/>
      <c r="M77" s="146"/>
      <c r="N77" s="147"/>
      <c r="O77" s="147"/>
      <c r="P77" s="148"/>
      <c r="Q77" s="149"/>
      <c r="R77" s="150"/>
      <c r="S77" s="144"/>
      <c r="T77" s="151"/>
      <c r="U77" s="120"/>
      <c r="V77" s="128"/>
      <c r="W77" s="2"/>
      <c r="X77" s="2"/>
      <c r="Y77" s="3"/>
      <c r="AC77" s="3"/>
      <c r="AD77" s="3"/>
      <c r="AS77" s="2"/>
      <c r="AT77" s="2"/>
      <c r="AU77" s="3"/>
      <c r="AV77" s="3"/>
      <c r="AW77" s="3"/>
    </row>
    <row r="78" spans="1:49" ht="15.95" customHeight="1" x14ac:dyDescent="0.2">
      <c r="A78" s="24"/>
      <c r="B78" s="3"/>
      <c r="C78" s="3"/>
      <c r="D78" s="2"/>
      <c r="E78" s="2"/>
      <c r="F78" s="2"/>
      <c r="G78" s="122"/>
      <c r="H78" s="110"/>
      <c r="I78" s="123"/>
      <c r="J78" s="22"/>
      <c r="K78" s="2"/>
      <c r="L78" s="2"/>
      <c r="M78" s="2"/>
      <c r="N78" s="2"/>
      <c r="O78" s="2"/>
      <c r="P78" s="2"/>
      <c r="Q78" s="15"/>
      <c r="R78" s="27"/>
      <c r="S78" s="2"/>
      <c r="T78" s="120"/>
      <c r="U78" s="120"/>
      <c r="V78" s="128"/>
      <c r="W78" s="2"/>
      <c r="X78" s="2"/>
      <c r="Y78" s="3"/>
      <c r="AC78" s="3"/>
      <c r="AD78" s="3"/>
      <c r="AS78" s="2"/>
      <c r="AT78" s="2"/>
      <c r="AU78" s="3"/>
      <c r="AV78" s="3"/>
      <c r="AW78" s="3"/>
    </row>
    <row r="79" spans="1:49" ht="15.95" customHeight="1" x14ac:dyDescent="0.2">
      <c r="A79" s="2"/>
      <c r="B79" s="3"/>
      <c r="C79" s="3"/>
      <c r="D79" s="2"/>
      <c r="E79" s="2"/>
      <c r="F79" s="120"/>
      <c r="G79" s="1"/>
      <c r="H79" s="1"/>
      <c r="I79" s="2"/>
      <c r="J79" s="2"/>
      <c r="K79" s="2"/>
      <c r="L79" s="102"/>
      <c r="M79" s="102"/>
      <c r="N79" s="103">
        <v>4</v>
      </c>
      <c r="O79" s="36"/>
      <c r="P79" s="36"/>
      <c r="Q79" s="36"/>
      <c r="R79" s="27"/>
      <c r="S79" s="2"/>
      <c r="T79" s="120"/>
      <c r="U79" s="120"/>
      <c r="V79" s="128"/>
      <c r="W79" s="2"/>
      <c r="X79" s="23"/>
      <c r="Y79" s="23"/>
      <c r="AC79" s="3"/>
      <c r="AD79" s="3"/>
      <c r="AS79" s="2"/>
      <c r="AT79" s="23"/>
      <c r="AU79" s="23"/>
      <c r="AV79" s="3"/>
      <c r="AW79" s="3"/>
    </row>
    <row r="80" spans="1:49" ht="15.95" customHeight="1" x14ac:dyDescent="0.2">
      <c r="A80" s="2"/>
      <c r="B80" s="2"/>
      <c r="C80" s="3"/>
      <c r="D80" s="3"/>
      <c r="E80" s="2"/>
      <c r="F80" s="120" t="s">
        <v>176</v>
      </c>
      <c r="G80" s="111"/>
      <c r="H80" s="111"/>
      <c r="I80" s="21"/>
      <c r="J80" s="21"/>
      <c r="K80" s="21"/>
      <c r="L80" s="30"/>
      <c r="M80" s="30"/>
      <c r="N80" s="30"/>
      <c r="O80" s="30"/>
      <c r="P80" s="30"/>
      <c r="Q80" s="26"/>
      <c r="R80" s="29"/>
      <c r="S80" s="21"/>
      <c r="T80" s="121"/>
      <c r="U80" s="120"/>
      <c r="W80" s="2"/>
      <c r="X80" s="2"/>
      <c r="Y80" s="3"/>
      <c r="AC80" s="3"/>
      <c r="AD80" s="3"/>
      <c r="AS80" s="2"/>
      <c r="AT80" s="2"/>
      <c r="AU80" s="3"/>
      <c r="AV80" s="3"/>
      <c r="AW80" s="3"/>
    </row>
    <row r="81" spans="1:56" ht="9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32"/>
      <c r="M81" s="32"/>
      <c r="N81" s="32"/>
      <c r="O81" s="90"/>
      <c r="P81" s="90"/>
      <c r="Q81" s="78"/>
      <c r="R81" s="79"/>
      <c r="S81" s="4"/>
      <c r="T81" s="4"/>
      <c r="U81" s="4"/>
      <c r="V81" s="4"/>
      <c r="W81" s="4"/>
      <c r="X81" s="4"/>
      <c r="Y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1:56" ht="9.75" customHeight="1" x14ac:dyDescent="0.2">
      <c r="A82" s="4"/>
      <c r="B82" s="4"/>
      <c r="C82" s="4"/>
      <c r="D82" s="4"/>
      <c r="E82" s="4"/>
      <c r="F82" s="32"/>
      <c r="G82" s="32"/>
      <c r="H82" s="32"/>
      <c r="J82" s="32"/>
      <c r="K82" s="78"/>
      <c r="L82" s="79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1:56" ht="9.75" customHeight="1" x14ac:dyDescent="0.2">
      <c r="A83" s="9"/>
      <c r="B83" s="9"/>
      <c r="C83" s="9"/>
      <c r="D83" s="9"/>
      <c r="E83" s="4" t="s">
        <v>33</v>
      </c>
      <c r="G83" s="32"/>
      <c r="H83" s="32"/>
      <c r="I83" s="32"/>
      <c r="J83" s="32"/>
      <c r="K83" s="78"/>
      <c r="L83" s="79"/>
      <c r="M83" s="4"/>
      <c r="N83" s="4"/>
      <c r="O83" s="4"/>
      <c r="P83" s="4"/>
      <c r="Q83" s="4"/>
      <c r="R83" s="4"/>
      <c r="S83" s="4"/>
      <c r="T83" s="4"/>
      <c r="U83" s="4" t="s">
        <v>32</v>
      </c>
      <c r="V83" s="4"/>
      <c r="X83" s="4"/>
      <c r="Y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1:56" ht="9.75" customHeight="1" x14ac:dyDescent="0.2">
      <c r="A84" s="9"/>
      <c r="B84" s="9"/>
      <c r="C84" s="9"/>
      <c r="D84" s="9"/>
      <c r="E84" s="9"/>
      <c r="F84" s="32"/>
      <c r="G84" s="32"/>
      <c r="H84" s="43"/>
      <c r="I84" s="32"/>
      <c r="J84" s="32"/>
      <c r="K84" s="78"/>
      <c r="L84" s="79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1:56" ht="9.75" customHeight="1" x14ac:dyDescent="0.2">
      <c r="A85" s="4"/>
      <c r="B85" s="4"/>
      <c r="C85" s="4"/>
      <c r="D85" s="9"/>
      <c r="E85" s="9"/>
      <c r="F85" s="9"/>
      <c r="G85" s="9"/>
      <c r="H85" s="9"/>
      <c r="I85" s="32"/>
      <c r="J85" s="32"/>
      <c r="K85" s="32"/>
      <c r="L85" s="32"/>
      <c r="M85" s="32"/>
      <c r="N85" s="78"/>
      <c r="O85" s="79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6" ht="9.75" customHeight="1" x14ac:dyDescent="0.2">
      <c r="A86" s="4"/>
      <c r="B86" s="4"/>
      <c r="C86" s="91" t="s">
        <v>101</v>
      </c>
      <c r="D86" s="51"/>
      <c r="E86" s="9"/>
      <c r="F86" s="51"/>
      <c r="G86" s="51"/>
      <c r="H86" s="51"/>
      <c r="I86" s="48"/>
      <c r="J86" s="48"/>
      <c r="K86" s="51"/>
      <c r="L86" s="12"/>
      <c r="M86" s="48"/>
      <c r="N86" s="51"/>
      <c r="O86" s="51"/>
      <c r="P86" s="51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1:56" ht="9.75" customHeight="1" x14ac:dyDescent="0.2">
      <c r="A87" s="4"/>
      <c r="B87" s="4"/>
      <c r="C87" s="4" t="s">
        <v>35</v>
      </c>
      <c r="D87" s="4"/>
      <c r="E87" s="507">
        <f>R53/R58</f>
        <v>6.0852112676056338</v>
      </c>
      <c r="F87" s="507"/>
      <c r="G87" s="4" t="s">
        <v>2</v>
      </c>
      <c r="H87" s="4"/>
      <c r="I87" s="4"/>
      <c r="J87" s="4" t="s">
        <v>88</v>
      </c>
      <c r="K87" s="4"/>
      <c r="L87" s="516">
        <f>J42+N42+(Q42/2)</f>
        <v>1.425</v>
      </c>
      <c r="M87" s="516"/>
      <c r="N87" s="12" t="s">
        <v>168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1:56" ht="9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57"/>
      <c r="Q88" s="57"/>
      <c r="R88" s="4"/>
      <c r="S88" s="4"/>
      <c r="T88" s="4"/>
      <c r="U88" s="4"/>
      <c r="V88" s="4"/>
      <c r="W88" s="50"/>
      <c r="X88" s="50"/>
      <c r="Y88" s="12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1:56" ht="9.75" customHeight="1" x14ac:dyDescent="0.2">
      <c r="A89" s="4"/>
      <c r="B89" s="4"/>
      <c r="C89" s="91" t="s">
        <v>102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57"/>
      <c r="Q89" s="57"/>
      <c r="R89" s="4"/>
      <c r="S89" s="4"/>
      <c r="T89" s="4"/>
      <c r="U89" s="4"/>
      <c r="V89" s="4"/>
      <c r="W89" s="50"/>
      <c r="X89" s="50"/>
      <c r="Y89" s="12"/>
      <c r="Z89" s="4"/>
      <c r="AA89" s="4"/>
      <c r="AB89" s="4"/>
      <c r="AC89" s="47"/>
      <c r="AD89" s="47"/>
      <c r="AE89" s="9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16"/>
      <c r="BD89" s="16"/>
    </row>
    <row r="90" spans="1:56" ht="9.75" customHeight="1" x14ac:dyDescent="0.2">
      <c r="A90" s="4"/>
      <c r="B90" s="4"/>
      <c r="C90" s="4" t="s">
        <v>36</v>
      </c>
      <c r="D90" s="4"/>
      <c r="E90" s="507">
        <f>R54/R58</f>
        <v>0.36056338028169016</v>
      </c>
      <c r="F90" s="507"/>
      <c r="G90" s="4" t="s">
        <v>2</v>
      </c>
      <c r="H90" s="4"/>
      <c r="I90" s="4"/>
      <c r="J90" s="4" t="s">
        <v>88</v>
      </c>
      <c r="K90" s="4"/>
      <c r="L90" s="516">
        <f>L87</f>
        <v>1.425</v>
      </c>
      <c r="M90" s="516"/>
      <c r="N90" s="12" t="s">
        <v>168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16"/>
      <c r="BD90" s="16"/>
    </row>
    <row r="91" spans="1:56" ht="9.75" customHeight="1" x14ac:dyDescent="0.2">
      <c r="A91" s="4"/>
      <c r="B91" s="4"/>
      <c r="C91" s="4"/>
      <c r="D91" s="4"/>
      <c r="E91" s="57"/>
      <c r="F91" s="57"/>
      <c r="G91" s="4"/>
      <c r="H91" s="4"/>
      <c r="I91" s="4"/>
      <c r="J91" s="4"/>
      <c r="K91" s="4"/>
      <c r="L91" s="50"/>
      <c r="M91" s="50"/>
      <c r="N91" s="12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9"/>
      <c r="AD91" s="9"/>
      <c r="AE91" s="63"/>
      <c r="AF91" s="63"/>
      <c r="AG91" s="47"/>
      <c r="AH91" s="47"/>
      <c r="AI91" s="48"/>
      <c r="AJ91" s="48"/>
      <c r="AK91" s="47"/>
      <c r="AL91" s="47"/>
      <c r="AM91" s="48"/>
      <c r="AN91" s="48"/>
      <c r="AO91" s="47"/>
      <c r="AP91" s="47"/>
      <c r="AQ91" s="47"/>
      <c r="AR91" s="9"/>
      <c r="AS91" s="62"/>
      <c r="AT91" s="9"/>
      <c r="AU91" s="47"/>
      <c r="AV91" s="47"/>
      <c r="AW91" s="47"/>
      <c r="AX91" s="9"/>
      <c r="AY91" s="9"/>
      <c r="AZ91" s="9"/>
      <c r="BA91" s="9"/>
      <c r="BB91" s="9"/>
      <c r="BC91" s="2"/>
      <c r="BD91" s="2"/>
    </row>
    <row r="92" spans="1:56" ht="9.75" customHeight="1" x14ac:dyDescent="0.2">
      <c r="A92" s="4"/>
      <c r="B92" s="4"/>
      <c r="C92" s="91" t="s">
        <v>103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9"/>
      <c r="AD92" s="9"/>
      <c r="AE92" s="9"/>
      <c r="AF92" s="12"/>
      <c r="AG92" s="12"/>
      <c r="AH92" s="6"/>
      <c r="AI92" s="92"/>
      <c r="AJ92" s="12"/>
      <c r="AK92" s="12"/>
      <c r="AL92" s="12"/>
      <c r="AM92" s="47"/>
      <c r="AN92" s="47"/>
      <c r="AO92" s="47"/>
      <c r="AP92" s="47"/>
      <c r="AQ92" s="12"/>
      <c r="AR92" s="48"/>
      <c r="AS92" s="9"/>
      <c r="AT92" s="9"/>
      <c r="AU92" s="12"/>
      <c r="AV92" s="48"/>
      <c r="AW92" s="9"/>
      <c r="AX92" s="9"/>
      <c r="AY92" s="9"/>
      <c r="AZ92" s="9"/>
      <c r="BA92" s="9"/>
      <c r="BB92" s="9"/>
      <c r="BC92" s="2"/>
      <c r="BD92" s="2"/>
    </row>
    <row r="93" spans="1:56" ht="9.75" customHeight="1" x14ac:dyDescent="0.2">
      <c r="A93" s="4"/>
      <c r="B93" s="4"/>
      <c r="C93" s="4" t="s">
        <v>37</v>
      </c>
      <c r="D93" s="4"/>
      <c r="E93" s="507">
        <f>R55/R58</f>
        <v>2.4464788732394367</v>
      </c>
      <c r="F93" s="507"/>
      <c r="G93" s="4" t="s">
        <v>2</v>
      </c>
      <c r="H93" s="4"/>
      <c r="I93" s="4"/>
      <c r="J93" s="4" t="s">
        <v>88</v>
      </c>
      <c r="K93" s="4"/>
      <c r="L93" s="516">
        <f>L87</f>
        <v>1.425</v>
      </c>
      <c r="M93" s="516"/>
      <c r="N93" s="12" t="s">
        <v>168</v>
      </c>
      <c r="O93" s="4"/>
      <c r="P93" s="57"/>
      <c r="Q93" s="57"/>
      <c r="R93" s="4"/>
      <c r="S93" s="4"/>
      <c r="T93" s="4"/>
      <c r="U93" s="4"/>
      <c r="V93" s="4"/>
      <c r="W93" s="50"/>
      <c r="X93" s="50"/>
      <c r="Y93" s="12"/>
      <c r="Z93" s="4"/>
      <c r="AA93" s="4"/>
      <c r="AB93" s="4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47"/>
      <c r="AQ93" s="47"/>
      <c r="AR93" s="47"/>
      <c r="AS93" s="47"/>
      <c r="AT93" s="47"/>
      <c r="AU93" s="9"/>
      <c r="AV93" s="9"/>
      <c r="AW93" s="9"/>
      <c r="AX93" s="9"/>
      <c r="AY93" s="9"/>
      <c r="AZ93" s="9"/>
      <c r="BA93" s="9"/>
      <c r="BB93" s="9"/>
      <c r="BC93" s="2"/>
      <c r="BD93" s="2"/>
    </row>
    <row r="94" spans="1:56" ht="9.75" customHeight="1" x14ac:dyDescent="0.2">
      <c r="A94" s="4"/>
      <c r="B94" s="4"/>
      <c r="C94" s="4"/>
      <c r="D94" s="4"/>
      <c r="E94" s="57"/>
      <c r="F94" s="57"/>
      <c r="G94" s="4"/>
      <c r="H94" s="4"/>
      <c r="I94" s="4"/>
      <c r="J94" s="4"/>
      <c r="K94" s="4"/>
      <c r="L94" s="50"/>
      <c r="M94" s="50"/>
      <c r="N94" s="12"/>
      <c r="O94" s="4"/>
      <c r="P94" s="57"/>
      <c r="Q94" s="57"/>
      <c r="R94" s="4"/>
      <c r="S94" s="4"/>
      <c r="T94" s="4"/>
      <c r="U94" s="4"/>
      <c r="V94" s="4"/>
      <c r="W94" s="50"/>
      <c r="X94" s="50"/>
      <c r="Y94" s="12"/>
      <c r="Z94" s="4"/>
      <c r="AA94" s="4"/>
      <c r="AB94" s="4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2"/>
      <c r="BD94" s="2"/>
    </row>
    <row r="95" spans="1:56" ht="9.75" customHeight="1" x14ac:dyDescent="0.2">
      <c r="A95" s="4"/>
      <c r="B95" s="4"/>
      <c r="C95" s="59" t="s">
        <v>125</v>
      </c>
      <c r="D95" s="4"/>
      <c r="E95" s="57"/>
      <c r="F95" s="57"/>
      <c r="G95" s="4"/>
      <c r="H95" s="4"/>
      <c r="I95" s="4"/>
      <c r="J95" s="4"/>
      <c r="K95" s="4"/>
      <c r="L95" s="50"/>
      <c r="M95" s="50"/>
      <c r="N95" s="12"/>
      <c r="O95" s="4"/>
      <c r="P95" s="57"/>
      <c r="Q95" s="57"/>
      <c r="R95" s="4"/>
      <c r="S95" s="4"/>
      <c r="T95" s="4"/>
      <c r="U95" s="4"/>
      <c r="V95" s="4"/>
      <c r="W95" s="50"/>
      <c r="X95" s="50"/>
      <c r="Y95" s="12"/>
      <c r="Z95" s="4"/>
      <c r="AA95" s="4"/>
      <c r="AB95" s="4"/>
      <c r="AC95" s="9"/>
      <c r="AD95" s="9"/>
      <c r="AE95" s="59" t="s">
        <v>125</v>
      </c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12"/>
      <c r="AQ95" s="12"/>
      <c r="AR95" s="12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2"/>
      <c r="BD95" s="2"/>
    </row>
    <row r="96" spans="1:56" ht="9.75" customHeight="1" x14ac:dyDescent="0.2">
      <c r="A96" s="4"/>
      <c r="B96" s="4"/>
      <c r="C96" s="4" t="s">
        <v>38</v>
      </c>
      <c r="D96" s="4"/>
      <c r="E96" s="507">
        <f>0.05*E93</f>
        <v>0.12232394366197184</v>
      </c>
      <c r="F96" s="507"/>
      <c r="G96" s="4" t="s">
        <v>2</v>
      </c>
      <c r="H96" s="4"/>
      <c r="I96" s="4"/>
      <c r="J96" s="4" t="s">
        <v>89</v>
      </c>
      <c r="K96" s="4"/>
      <c r="L96" s="516">
        <f>$K$64+C36</f>
        <v>5.8</v>
      </c>
      <c r="M96" s="516"/>
      <c r="N96" s="12" t="s">
        <v>168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9"/>
      <c r="AD96" s="9"/>
      <c r="AE96" s="4" t="s">
        <v>38</v>
      </c>
      <c r="AF96" s="4"/>
      <c r="AG96" s="507">
        <f>0.05*E93</f>
        <v>0.12232394366197184</v>
      </c>
      <c r="AH96" s="507"/>
      <c r="AI96" s="4" t="s">
        <v>2</v>
      </c>
      <c r="AJ96" s="4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2"/>
      <c r="BD96" s="2"/>
    </row>
    <row r="97" spans="1:56" ht="9.75" customHeight="1" x14ac:dyDescent="0.2">
      <c r="A97" s="4"/>
      <c r="B97" s="4"/>
      <c r="C97" s="4"/>
      <c r="D97" s="4"/>
      <c r="E97" s="57"/>
      <c r="F97" s="57"/>
      <c r="G97" s="4"/>
      <c r="H97" s="4"/>
      <c r="I97" s="4"/>
      <c r="J97" s="4"/>
      <c r="K97" s="4"/>
      <c r="L97" s="50"/>
      <c r="M97" s="50"/>
      <c r="N97" s="12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9"/>
      <c r="AD97" s="62"/>
      <c r="AE97" s="9"/>
      <c r="AF97" s="9"/>
      <c r="AG97" s="12"/>
      <c r="AH97" s="12"/>
      <c r="AI97" s="9"/>
      <c r="AJ97" s="48"/>
      <c r="AK97" s="48"/>
      <c r="AL97" s="9"/>
      <c r="AM97" s="9"/>
      <c r="AN97" s="9"/>
      <c r="AO97" s="48"/>
      <c r="AP97" s="12"/>
      <c r="AQ97" s="12"/>
      <c r="AR97" s="12"/>
      <c r="AS97" s="12"/>
      <c r="AT97" s="9"/>
      <c r="AU97" s="9"/>
      <c r="AV97" s="9"/>
      <c r="AW97" s="9"/>
      <c r="AX97" s="9"/>
      <c r="AY97" s="9"/>
      <c r="AZ97" s="12"/>
      <c r="BA97" s="12"/>
      <c r="BB97" s="9"/>
      <c r="BC97" s="2"/>
      <c r="BD97" s="20"/>
    </row>
    <row r="98" spans="1:56" ht="9.75" customHeight="1" x14ac:dyDescent="0.25">
      <c r="A98" s="4"/>
      <c r="B98" s="4"/>
      <c r="C98" s="91" t="s">
        <v>105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9"/>
      <c r="AD98" s="47"/>
      <c r="AE98" s="5"/>
      <c r="AF98" s="93"/>
      <c r="AG98" s="93"/>
      <c r="AH98" s="93"/>
      <c r="AI98" s="5"/>
      <c r="AJ98" s="93"/>
      <c r="AK98" s="93"/>
      <c r="AL98" s="93"/>
      <c r="AM98" s="93"/>
      <c r="AN98" s="5"/>
      <c r="AO98" s="93"/>
      <c r="AP98" s="93"/>
      <c r="AQ98" s="93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13"/>
      <c r="BD98" s="13"/>
    </row>
    <row r="99" spans="1:56" ht="9.75" customHeight="1" x14ac:dyDescent="0.2">
      <c r="A99" s="4"/>
      <c r="B99" s="4"/>
      <c r="C99" s="4" t="s">
        <v>106</v>
      </c>
      <c r="D99" s="4"/>
      <c r="E99" s="507">
        <f>R56/R58</f>
        <v>1.3380281690140845</v>
      </c>
      <c r="F99" s="507"/>
      <c r="G99" s="4" t="s">
        <v>2</v>
      </c>
      <c r="H99" s="4"/>
      <c r="I99" s="4"/>
      <c r="J99" s="4" t="s">
        <v>88</v>
      </c>
      <c r="K99" s="4"/>
      <c r="L99" s="516">
        <f>L87</f>
        <v>1.425</v>
      </c>
      <c r="M99" s="516"/>
      <c r="N99" s="12" t="s">
        <v>168</v>
      </c>
      <c r="O99" s="4"/>
      <c r="P99" s="57"/>
      <c r="Q99" s="57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9"/>
      <c r="AD99" s="9"/>
      <c r="AE99" s="9"/>
      <c r="AF99" s="9"/>
      <c r="AG99" s="9"/>
      <c r="AH99" s="9"/>
      <c r="AI99" s="9"/>
      <c r="AJ99" s="9"/>
      <c r="AK99" s="51"/>
      <c r="AL99" s="51"/>
      <c r="AM99" s="9"/>
      <c r="AN99" s="9"/>
      <c r="AO99" s="9"/>
      <c r="AP99" s="47"/>
      <c r="AQ99" s="9"/>
      <c r="AR99" s="9"/>
      <c r="AS99" s="9"/>
      <c r="AT99" s="9"/>
      <c r="AU99" s="9"/>
      <c r="AV99" s="9"/>
      <c r="AW99" s="58"/>
      <c r="AX99" s="9"/>
      <c r="AY99" s="9"/>
      <c r="AZ99" s="9"/>
      <c r="BA99" s="9"/>
      <c r="BB99" s="9"/>
      <c r="BC99" s="2"/>
      <c r="BD99" s="2"/>
    </row>
    <row r="100" spans="1:56" ht="9.75" customHeight="1" x14ac:dyDescent="0.2">
      <c r="A100" s="4"/>
      <c r="B100" s="4"/>
      <c r="C100" s="4"/>
      <c r="D100" s="4"/>
      <c r="E100" s="57"/>
      <c r="F100" s="57"/>
      <c r="G100" s="4"/>
      <c r="H100" s="4"/>
      <c r="I100" s="4"/>
      <c r="J100" s="4"/>
      <c r="K100" s="4"/>
      <c r="L100" s="50"/>
      <c r="M100" s="50"/>
      <c r="N100" s="12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9"/>
      <c r="AD100" s="9"/>
      <c r="AE100" s="9"/>
      <c r="AF100" s="9"/>
      <c r="AG100" s="9"/>
      <c r="AH100" s="9"/>
      <c r="AI100" s="9"/>
      <c r="AJ100" s="9"/>
      <c r="AK100" s="9"/>
      <c r="AL100" s="47"/>
      <c r="AM100" s="9"/>
      <c r="AN100" s="9"/>
      <c r="AO100" s="9"/>
      <c r="AP100" s="47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2"/>
      <c r="BD100" s="2"/>
    </row>
    <row r="101" spans="1:56" ht="9.75" customHeight="1" x14ac:dyDescent="0.2">
      <c r="A101" s="4"/>
      <c r="B101" s="4"/>
      <c r="C101" s="59" t="s">
        <v>104</v>
      </c>
      <c r="D101" s="4"/>
      <c r="E101" s="57"/>
      <c r="F101" s="57"/>
      <c r="G101" s="4"/>
      <c r="H101" s="4"/>
      <c r="I101" s="4"/>
      <c r="J101" s="4"/>
      <c r="K101" s="4"/>
      <c r="L101" s="50"/>
      <c r="M101" s="50"/>
      <c r="N101" s="12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9"/>
      <c r="AD101" s="9"/>
      <c r="AE101" s="9"/>
      <c r="AF101" s="9"/>
      <c r="AG101" s="47"/>
      <c r="AH101" s="9"/>
      <c r="AI101" s="9"/>
      <c r="AJ101" s="9"/>
      <c r="AK101" s="9"/>
      <c r="AL101" s="47"/>
      <c r="AM101" s="9"/>
      <c r="AN101" s="9"/>
      <c r="AO101" s="9"/>
      <c r="AP101" s="47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2"/>
      <c r="BD101" s="2"/>
    </row>
    <row r="102" spans="1:56" ht="9.75" customHeight="1" x14ac:dyDescent="0.2">
      <c r="A102" s="4"/>
      <c r="B102" s="4"/>
      <c r="C102" s="4" t="s">
        <v>92</v>
      </c>
      <c r="D102" s="4"/>
      <c r="E102" s="507">
        <f>0.1*($E$87+E90)</f>
        <v>0.64457746478873246</v>
      </c>
      <c r="F102" s="507"/>
      <c r="G102" s="4" t="s">
        <v>2</v>
      </c>
      <c r="H102" s="4"/>
      <c r="I102" s="4"/>
      <c r="J102" s="4" t="s">
        <v>89</v>
      </c>
      <c r="K102" s="4"/>
      <c r="L102" s="516">
        <f>AA36+G42</f>
        <v>2.9</v>
      </c>
      <c r="M102" s="516"/>
      <c r="N102" s="12" t="s">
        <v>168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7"/>
      <c r="AD102" s="47"/>
      <c r="AE102" s="47"/>
      <c r="AF102" s="9"/>
      <c r="AG102" s="51"/>
      <c r="AH102" s="48"/>
      <c r="AI102" s="48"/>
      <c r="AJ102" s="51"/>
      <c r="AK102" s="12"/>
      <c r="AL102" s="12"/>
      <c r="AM102" s="51"/>
      <c r="AN102" s="12"/>
      <c r="AO102" s="12"/>
      <c r="AP102" s="51"/>
      <c r="AQ102" s="12"/>
      <c r="AR102" s="12"/>
      <c r="AS102" s="51"/>
      <c r="AT102" s="12"/>
      <c r="AU102" s="12"/>
      <c r="AV102" s="51"/>
      <c r="AW102" s="12"/>
      <c r="AX102" s="12"/>
      <c r="AY102" s="9"/>
      <c r="AZ102" s="47"/>
      <c r="BA102" s="47"/>
      <c r="BB102" s="9"/>
      <c r="BC102" s="2"/>
      <c r="BD102" s="2"/>
    </row>
    <row r="103" spans="1:56" ht="9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7"/>
      <c r="AD103" s="47"/>
      <c r="AE103" s="47"/>
      <c r="AF103" s="9"/>
      <c r="AG103" s="51"/>
      <c r="AH103" s="12"/>
      <c r="AI103" s="12"/>
      <c r="AJ103" s="12"/>
      <c r="AK103" s="47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47"/>
      <c r="BA103" s="47"/>
      <c r="BB103" s="9"/>
      <c r="BC103" s="2"/>
      <c r="BD103" s="2"/>
    </row>
    <row r="104" spans="1:56" ht="9.75" customHeight="1" x14ac:dyDescent="0.2">
      <c r="A104" s="4"/>
      <c r="B104" s="4"/>
      <c r="C104" s="59" t="s">
        <v>110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1"/>
      <c r="BD104" s="1"/>
    </row>
    <row r="105" spans="1:56" ht="9.75" customHeight="1" x14ac:dyDescent="0.2">
      <c r="A105" s="4"/>
      <c r="B105" s="4"/>
      <c r="C105" s="4" t="s">
        <v>71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7"/>
      <c r="AD105" s="47"/>
      <c r="AE105" s="9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16"/>
      <c r="BD105" s="16"/>
    </row>
    <row r="106" spans="1:56" ht="9.75" customHeight="1" x14ac:dyDescent="0.2">
      <c r="A106" s="4"/>
      <c r="B106" s="4"/>
      <c r="C106" s="4" t="s">
        <v>140</v>
      </c>
      <c r="D106" s="4"/>
      <c r="E106" s="526" t="s">
        <v>141</v>
      </c>
      <c r="F106" s="526"/>
      <c r="G106" s="526"/>
      <c r="H106" s="526"/>
      <c r="I106" s="526"/>
      <c r="J106" s="526"/>
      <c r="K106" s="526"/>
      <c r="L106" s="526"/>
      <c r="M106" s="526"/>
      <c r="N106" s="526"/>
      <c r="O106" s="526"/>
      <c r="P106" s="526"/>
      <c r="Q106" s="526"/>
      <c r="R106" s="526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16"/>
      <c r="BD106" s="16"/>
    </row>
    <row r="107" spans="1:56" ht="9.75" customHeight="1" x14ac:dyDescent="0.2">
      <c r="A107" s="4"/>
      <c r="B107" s="4"/>
      <c r="C107" s="4"/>
      <c r="D107" s="4"/>
      <c r="E107" s="4" t="s">
        <v>142</v>
      </c>
      <c r="F107" s="4"/>
      <c r="G107" s="4"/>
      <c r="H107" s="4"/>
      <c r="I107" s="4"/>
      <c r="J107" s="4">
        <v>1</v>
      </c>
      <c r="K107" s="43" t="s">
        <v>177</v>
      </c>
      <c r="L107" s="527" t="s">
        <v>120</v>
      </c>
      <c r="M107" s="527"/>
      <c r="N107" s="527"/>
      <c r="O107" s="527"/>
      <c r="P107" s="527"/>
      <c r="Q107" s="527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71"/>
      <c r="AD107" s="71"/>
      <c r="AE107" s="47"/>
      <c r="AF107" s="12"/>
      <c r="AG107" s="12"/>
      <c r="AH107" s="47"/>
      <c r="AI107" s="47"/>
      <c r="AJ107" s="47"/>
      <c r="AK107" s="47"/>
      <c r="AL107" s="47"/>
      <c r="AM107" s="48"/>
      <c r="AN107" s="48"/>
      <c r="AO107" s="94"/>
      <c r="AP107" s="47"/>
      <c r="AQ107" s="47"/>
      <c r="AR107" s="9"/>
      <c r="AS107" s="62"/>
      <c r="AT107" s="9"/>
      <c r="AU107" s="47"/>
      <c r="AV107" s="47"/>
      <c r="AW107" s="47"/>
      <c r="AX107" s="9"/>
      <c r="AY107" s="9"/>
      <c r="AZ107" s="9"/>
      <c r="BA107" s="9"/>
      <c r="BB107" s="9"/>
      <c r="BC107" s="2"/>
      <c r="BD107" s="2"/>
    </row>
    <row r="108" spans="1:56" ht="9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528" t="s">
        <v>121</v>
      </c>
      <c r="M108" s="528"/>
      <c r="N108" s="528"/>
      <c r="O108" s="528"/>
      <c r="P108" s="528"/>
      <c r="Q108" s="528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9"/>
      <c r="AD108" s="9"/>
      <c r="AE108" s="12"/>
      <c r="AF108" s="12"/>
      <c r="AG108" s="47"/>
      <c r="AH108" s="47"/>
      <c r="AI108" s="47"/>
      <c r="AJ108" s="12"/>
      <c r="AK108" s="48"/>
      <c r="AL108" s="9"/>
      <c r="AM108" s="9"/>
      <c r="AN108" s="9"/>
      <c r="AO108" s="9"/>
      <c r="AP108" s="12"/>
      <c r="AQ108" s="48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2"/>
      <c r="BD108" s="2"/>
    </row>
    <row r="109" spans="1:56" ht="9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9"/>
      <c r="AD109" s="9"/>
      <c r="AE109" s="9"/>
      <c r="AF109" s="9"/>
      <c r="AG109" s="9"/>
      <c r="AH109" s="9"/>
      <c r="AI109" s="47"/>
      <c r="AJ109" s="47"/>
      <c r="AK109" s="47"/>
      <c r="AL109" s="47"/>
      <c r="AM109" s="47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2"/>
      <c r="BD109" s="2"/>
    </row>
    <row r="110" spans="1:56" ht="9.75" customHeight="1" x14ac:dyDescent="0.2">
      <c r="A110" s="4"/>
      <c r="B110" s="4"/>
      <c r="C110" s="4" t="s">
        <v>169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2"/>
      <c r="BD110" s="2"/>
    </row>
    <row r="111" spans="1:56" ht="9.75" customHeight="1" x14ac:dyDescent="0.2">
      <c r="A111" s="4"/>
      <c r="B111" s="4"/>
      <c r="C111" s="4" t="s">
        <v>143</v>
      </c>
      <c r="D111" s="4"/>
      <c r="E111" s="4" t="s">
        <v>82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 t="s">
        <v>170</v>
      </c>
      <c r="U111" s="529">
        <f>R52</f>
        <v>29</v>
      </c>
      <c r="V111" s="529"/>
      <c r="W111" s="75" t="s">
        <v>85</v>
      </c>
      <c r="X111" s="4"/>
      <c r="Y111" s="4"/>
      <c r="Z111" s="4"/>
      <c r="AA111" s="4"/>
      <c r="AB111" s="4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12"/>
      <c r="AQ111" s="12"/>
      <c r="AR111" s="12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2"/>
      <c r="BD111" s="2"/>
    </row>
    <row r="112" spans="1:56" ht="9.75" customHeight="1" x14ac:dyDescent="0.2">
      <c r="A112" s="4"/>
      <c r="B112" s="4"/>
      <c r="C112" s="4" t="s">
        <v>144</v>
      </c>
      <c r="D112" s="4"/>
      <c r="E112" s="4" t="s">
        <v>81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 t="s">
        <v>170</v>
      </c>
      <c r="U112" s="530">
        <f>AB14</f>
        <v>20</v>
      </c>
      <c r="V112" s="530"/>
      <c r="W112" s="75" t="s">
        <v>85</v>
      </c>
      <c r="X112" s="156" t="s">
        <v>192</v>
      </c>
      <c r="Y112" s="4"/>
      <c r="Z112" s="4"/>
      <c r="AA112" s="4"/>
      <c r="AB112" s="4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2"/>
      <c r="BD112" s="2"/>
    </row>
    <row r="113" spans="1:56" ht="9.75" customHeight="1" x14ac:dyDescent="0.2">
      <c r="A113" s="4"/>
      <c r="B113" s="4"/>
      <c r="C113" s="4" t="s">
        <v>145</v>
      </c>
      <c r="D113" s="4"/>
      <c r="E113" s="4" t="s">
        <v>83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 t="s">
        <v>191</v>
      </c>
      <c r="Q113" s="4"/>
      <c r="R113" s="4"/>
      <c r="S113" s="4"/>
      <c r="T113" s="4" t="s">
        <v>170</v>
      </c>
      <c r="U113" s="531">
        <v>0</v>
      </c>
      <c r="V113" s="531"/>
      <c r="W113" s="75" t="s">
        <v>85</v>
      </c>
      <c r="X113" s="4"/>
      <c r="Y113" s="4"/>
      <c r="Z113" s="4"/>
      <c r="AA113" s="4"/>
      <c r="AB113" s="4"/>
      <c r="AC113" s="9"/>
      <c r="AD113" s="62"/>
      <c r="AE113" s="9"/>
      <c r="AF113" s="9"/>
      <c r="AG113" s="12"/>
      <c r="AH113" s="12"/>
      <c r="AI113" s="9"/>
      <c r="AJ113" s="48"/>
      <c r="AK113" s="48"/>
      <c r="AL113" s="9"/>
      <c r="AM113" s="9"/>
      <c r="AN113" s="9"/>
      <c r="AO113" s="48"/>
      <c r="AP113" s="12"/>
      <c r="AQ113" s="12"/>
      <c r="AR113" s="12"/>
      <c r="AS113" s="12"/>
      <c r="AT113" s="9"/>
      <c r="AU113" s="9"/>
      <c r="AV113" s="9"/>
      <c r="AW113" s="9"/>
      <c r="AX113" s="9"/>
      <c r="AY113" s="9"/>
      <c r="AZ113" s="12"/>
      <c r="BA113" s="12"/>
      <c r="BB113" s="9"/>
      <c r="BC113" s="2"/>
      <c r="BD113" s="20"/>
    </row>
    <row r="114" spans="1:56" ht="9.75" customHeight="1" x14ac:dyDescent="0.25">
      <c r="A114" s="4"/>
      <c r="B114" s="4"/>
      <c r="C114" s="4" t="s">
        <v>146</v>
      </c>
      <c r="D114" s="4"/>
      <c r="E114" s="4" t="s">
        <v>122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 t="s">
        <v>170</v>
      </c>
      <c r="U114" s="532">
        <v>90</v>
      </c>
      <c r="V114" s="532"/>
      <c r="W114" s="160" t="s">
        <v>85</v>
      </c>
      <c r="X114" s="157"/>
      <c r="Y114" s="157"/>
      <c r="Z114" s="157"/>
      <c r="AA114" s="157"/>
      <c r="AB114" s="157"/>
      <c r="AC114" s="9"/>
      <c r="AD114" s="41"/>
      <c r="AE114" s="41"/>
      <c r="AF114" s="5"/>
      <c r="AG114" s="93"/>
      <c r="AH114" s="93"/>
      <c r="AI114" s="47"/>
      <c r="AJ114" s="47"/>
      <c r="AK114" s="47"/>
      <c r="AL114" s="47"/>
      <c r="AM114" s="47"/>
      <c r="AN114" s="12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13"/>
      <c r="BD114" s="13"/>
    </row>
    <row r="115" spans="1:56" ht="9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75"/>
      <c r="X115" s="4"/>
      <c r="Y115" s="4"/>
      <c r="Z115" s="4"/>
      <c r="AA115" s="4"/>
      <c r="AB115" s="4"/>
      <c r="AC115" s="9"/>
      <c r="AD115" s="9"/>
      <c r="AE115" s="9"/>
      <c r="AF115" s="9"/>
      <c r="AG115" s="9"/>
      <c r="AH115" s="9"/>
      <c r="AI115" s="9"/>
      <c r="AJ115" s="9"/>
      <c r="AK115" s="51"/>
      <c r="AL115" s="51"/>
      <c r="AM115" s="9"/>
      <c r="AN115" s="9"/>
      <c r="AO115" s="9"/>
      <c r="AP115" s="47"/>
      <c r="AQ115" s="9"/>
      <c r="AR115" s="9"/>
      <c r="AS115" s="9"/>
      <c r="AT115" s="9"/>
      <c r="AU115" s="9"/>
      <c r="AV115" s="9"/>
      <c r="AW115" s="58"/>
      <c r="AX115" s="9"/>
      <c r="AY115" s="9"/>
      <c r="AZ115" s="9"/>
      <c r="BA115" s="9"/>
      <c r="BB115" s="9"/>
      <c r="BC115" s="2"/>
      <c r="BD115" s="2"/>
    </row>
    <row r="116" spans="1:56" ht="9.75" customHeight="1" x14ac:dyDescent="0.2">
      <c r="A116" s="4"/>
      <c r="B116" s="4"/>
      <c r="C116" s="4" t="s">
        <v>140</v>
      </c>
      <c r="D116" s="4"/>
      <c r="E116" s="533">
        <f>SIN((U111+U114)*PI()/180)^2/(SIN(U114*PI()/180)^2*SIN((U114-U112)*PI()/180)*(1+SQRT(SIN((U111+U112)*PI()/180)*SIN((U111-U113)*PI()/180)/SIN((U114-U112)*PI()/180)/SIN((U114-U113)*PI()/180)))^2)</f>
        <v>0.30866127883694694</v>
      </c>
      <c r="F116" s="53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9"/>
      <c r="AD116" s="9"/>
      <c r="AE116" s="9"/>
      <c r="AF116" s="9"/>
      <c r="AG116" s="9"/>
      <c r="AH116" s="9"/>
      <c r="AI116" s="9"/>
      <c r="AJ116" s="9"/>
      <c r="AK116" s="9"/>
      <c r="AL116" s="47"/>
      <c r="AM116" s="9"/>
      <c r="AN116" s="9"/>
      <c r="AO116" s="9"/>
      <c r="AP116" s="47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2"/>
      <c r="BD116" s="2"/>
    </row>
    <row r="117" spans="1:56" ht="9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9"/>
      <c r="AD117" s="9"/>
      <c r="AE117" s="9"/>
      <c r="AF117" s="9"/>
      <c r="AG117" s="47"/>
      <c r="AH117" s="9"/>
      <c r="AI117" s="9"/>
      <c r="AJ117" s="9"/>
      <c r="AK117" s="9"/>
      <c r="AL117" s="47"/>
      <c r="AM117" s="9"/>
      <c r="AN117" s="9"/>
      <c r="AO117" s="9"/>
      <c r="AP117" s="47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2"/>
      <c r="BD117" s="2"/>
    </row>
    <row r="118" spans="1:56" ht="9.75" customHeight="1" x14ac:dyDescent="0.2">
      <c r="A118" s="4"/>
      <c r="B118" s="4"/>
      <c r="C118" s="4" t="s">
        <v>72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7"/>
      <c r="AD118" s="47"/>
      <c r="AE118" s="9"/>
      <c r="AF118" s="9"/>
      <c r="AG118" s="51"/>
      <c r="AH118" s="12"/>
      <c r="AI118" s="48"/>
      <c r="AJ118" s="51"/>
      <c r="AK118" s="12"/>
      <c r="AL118" s="12"/>
      <c r="AM118" s="51"/>
      <c r="AN118" s="12"/>
      <c r="AO118" s="12"/>
      <c r="AP118" s="51"/>
      <c r="AQ118" s="12"/>
      <c r="AR118" s="12"/>
      <c r="AS118" s="51"/>
      <c r="AT118" s="12"/>
      <c r="AU118" s="12"/>
      <c r="AV118" s="47"/>
      <c r="AW118" s="47"/>
      <c r="AX118" s="47"/>
      <c r="AY118" s="47"/>
      <c r="AZ118" s="47"/>
      <c r="BA118" s="47"/>
      <c r="BB118" s="47"/>
      <c r="BC118" s="16"/>
      <c r="BD118" s="16"/>
    </row>
    <row r="119" spans="1:56" ht="10.7" customHeight="1" x14ac:dyDescent="0.25">
      <c r="A119" s="4"/>
      <c r="B119" s="4"/>
      <c r="C119" s="4" t="s">
        <v>99</v>
      </c>
      <c r="D119" s="4"/>
      <c r="E119" s="534">
        <v>0.5</v>
      </c>
      <c r="F119" s="534"/>
      <c r="G119" s="95" t="s">
        <v>147</v>
      </c>
      <c r="H119" s="4"/>
      <c r="I119" s="4"/>
      <c r="J119" s="4" t="s">
        <v>170</v>
      </c>
      <c r="K119" s="534">
        <v>0.5</v>
      </c>
      <c r="L119" s="534"/>
      <c r="M119" s="507">
        <f>R48</f>
        <v>1.8</v>
      </c>
      <c r="N119" s="535"/>
      <c r="O119" s="513">
        <f>E116</f>
        <v>0.30866127883694694</v>
      </c>
      <c r="P119" s="535"/>
      <c r="Q119" s="507">
        <f>C36</f>
        <v>4</v>
      </c>
      <c r="R119" s="535"/>
      <c r="S119" s="49" t="s">
        <v>170</v>
      </c>
      <c r="T119" s="507">
        <f>K119*M119*O119*Q119^2</f>
        <v>4.4447224152520359</v>
      </c>
      <c r="U119" s="507"/>
      <c r="V119" s="4" t="s">
        <v>2</v>
      </c>
      <c r="W119" s="4"/>
      <c r="X119" s="4"/>
      <c r="Y119" s="4"/>
      <c r="Z119" s="4"/>
      <c r="AA119" s="4"/>
      <c r="AB119" s="4"/>
      <c r="AC119" s="47"/>
      <c r="AD119" s="47"/>
      <c r="AE119" s="9"/>
      <c r="AF119" s="9"/>
      <c r="AG119" s="51"/>
      <c r="AH119" s="12"/>
      <c r="AI119" s="12"/>
      <c r="AJ119" s="12"/>
      <c r="AK119" s="47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47"/>
      <c r="AW119" s="47"/>
      <c r="AX119" s="47"/>
      <c r="AY119" s="47"/>
      <c r="AZ119" s="47"/>
      <c r="BA119" s="47"/>
      <c r="BB119" s="47"/>
      <c r="BC119" s="16"/>
      <c r="BD119" s="16"/>
    </row>
    <row r="120" spans="1:56" ht="9.75" customHeight="1" x14ac:dyDescent="0.2">
      <c r="A120" s="4"/>
      <c r="B120" s="4"/>
      <c r="C120" s="45" t="s">
        <v>111</v>
      </c>
      <c r="D120" s="4"/>
      <c r="E120" s="510">
        <f>T119</f>
        <v>4.4447224152520359</v>
      </c>
      <c r="F120" s="510"/>
      <c r="G120" s="61" t="s">
        <v>1</v>
      </c>
      <c r="H120" s="4"/>
      <c r="I120" s="4"/>
      <c r="J120" s="4"/>
      <c r="K120" s="4"/>
      <c r="L120" s="4"/>
      <c r="M120" s="4"/>
      <c r="N120" s="4"/>
      <c r="O120" s="4"/>
      <c r="P120" s="4"/>
      <c r="Q120" s="4" t="s">
        <v>89</v>
      </c>
      <c r="R120" s="4"/>
      <c r="S120" s="511">
        <f>C36/3</f>
        <v>1.3333333333333333</v>
      </c>
      <c r="T120" s="511"/>
      <c r="U120" s="12" t="s">
        <v>168</v>
      </c>
      <c r="V120" s="4"/>
      <c r="W120" s="4"/>
      <c r="X120" s="4"/>
      <c r="Y120" s="4"/>
      <c r="Z120" s="4"/>
      <c r="AA120" s="4"/>
      <c r="AB120" s="4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1"/>
      <c r="BD120" s="1"/>
    </row>
    <row r="121" spans="1:56" ht="9.75" customHeight="1" x14ac:dyDescent="0.2">
      <c r="A121" s="4"/>
      <c r="B121" s="4"/>
      <c r="C121" s="4"/>
      <c r="D121" s="4"/>
      <c r="E121" s="96"/>
      <c r="F121" s="96"/>
      <c r="G121" s="96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9"/>
      <c r="AD121" s="9"/>
      <c r="AE121" s="9"/>
      <c r="AF121" s="9"/>
      <c r="AG121" s="12"/>
      <c r="AH121" s="48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1"/>
      <c r="BD121" s="1"/>
    </row>
    <row r="122" spans="1:56" ht="9.75" customHeight="1" x14ac:dyDescent="0.2">
      <c r="A122" s="4"/>
      <c r="B122" s="4"/>
      <c r="C122" s="4" t="s">
        <v>73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1"/>
      <c r="BD122" s="1"/>
    </row>
    <row r="123" spans="1:56" ht="9.75" customHeight="1" x14ac:dyDescent="0.2">
      <c r="A123" s="4"/>
      <c r="B123" s="4"/>
      <c r="C123" s="4" t="s">
        <v>74</v>
      </c>
      <c r="D123" s="4"/>
      <c r="E123" s="4"/>
      <c r="F123" s="4"/>
      <c r="G123" s="4"/>
      <c r="H123" s="4"/>
      <c r="I123" s="4"/>
      <c r="J123" s="4"/>
      <c r="K123" s="4" t="s">
        <v>4</v>
      </c>
      <c r="L123" s="4"/>
      <c r="M123" s="510">
        <f>Y48</f>
        <v>0.3</v>
      </c>
      <c r="N123" s="510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9"/>
      <c r="AD123" s="9"/>
      <c r="AE123" s="9"/>
      <c r="AF123" s="9"/>
      <c r="AG123" s="48"/>
      <c r="AH123" s="48"/>
      <c r="AI123" s="9"/>
      <c r="AJ123" s="9"/>
      <c r="AK123" s="9"/>
      <c r="AL123" s="12"/>
      <c r="AM123" s="12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1"/>
      <c r="BD123" s="1"/>
    </row>
    <row r="124" spans="1:56" ht="9.75" customHeight="1" x14ac:dyDescent="0.2">
      <c r="A124" s="4"/>
      <c r="B124" s="4"/>
      <c r="C124" s="4" t="s">
        <v>75</v>
      </c>
      <c r="D124" s="4"/>
      <c r="E124" s="4"/>
      <c r="F124" s="4"/>
      <c r="G124" s="4"/>
      <c r="H124" s="4"/>
      <c r="I124" s="4"/>
      <c r="J124" s="4"/>
      <c r="K124" s="4" t="s">
        <v>184</v>
      </c>
      <c r="L124" s="4"/>
      <c r="M124" s="510">
        <f>Y49</f>
        <v>1.2</v>
      </c>
      <c r="N124" s="510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10"/>
      <c r="AM124" s="10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1:56" ht="9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1:56" ht="9.75" customHeight="1" x14ac:dyDescent="0.2">
      <c r="A126" s="4"/>
      <c r="B126" s="4"/>
      <c r="C126" s="4" t="s">
        <v>76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1:56" ht="9.75" customHeight="1" x14ac:dyDescent="0.2">
      <c r="A127" s="4"/>
      <c r="B127" s="4"/>
      <c r="C127" s="4" t="s">
        <v>77</v>
      </c>
      <c r="D127" s="4"/>
      <c r="E127" s="536">
        <f>M123/2</f>
        <v>0.15</v>
      </c>
      <c r="F127" s="536"/>
      <c r="G127" s="4" t="s">
        <v>78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1:56" ht="9.75" customHeight="1" x14ac:dyDescent="0.2">
      <c r="A128" s="4"/>
      <c r="B128" s="4"/>
      <c r="C128" s="4" t="s">
        <v>79</v>
      </c>
      <c r="D128" s="4"/>
      <c r="E128" s="507">
        <f>0.4*E127</f>
        <v>0.06</v>
      </c>
      <c r="F128" s="507"/>
      <c r="G128" s="4" t="s">
        <v>124</v>
      </c>
      <c r="H128" s="4"/>
      <c r="I128" s="4"/>
      <c r="J128" s="4"/>
      <c r="K128" s="4"/>
      <c r="L128" s="4"/>
      <c r="M128" s="4"/>
      <c r="N128" s="4"/>
      <c r="O128" s="4"/>
      <c r="P128" s="4" t="s">
        <v>193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1:54" ht="9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1:54" ht="11.85" customHeight="1" x14ac:dyDescent="0.2">
      <c r="A130" s="4"/>
      <c r="B130" s="4"/>
      <c r="C130" s="4" t="s">
        <v>148</v>
      </c>
      <c r="D130" s="4"/>
      <c r="E130" s="488" t="s">
        <v>149</v>
      </c>
      <c r="F130" s="488"/>
      <c r="G130" s="488"/>
      <c r="H130" s="488"/>
      <c r="I130" s="488"/>
      <c r="J130" s="488"/>
      <c r="K130" s="488"/>
      <c r="L130" s="488"/>
      <c r="M130" s="488"/>
      <c r="N130" s="488"/>
      <c r="O130" s="488"/>
      <c r="P130" s="488"/>
      <c r="Q130" s="488"/>
      <c r="R130" s="488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</row>
    <row r="131" spans="1:54" ht="11.85" customHeight="1" x14ac:dyDescent="0.2">
      <c r="A131" s="4"/>
      <c r="B131" s="4"/>
      <c r="C131" s="4"/>
      <c r="D131" s="4"/>
      <c r="E131" s="60" t="s">
        <v>150</v>
      </c>
      <c r="F131" s="4"/>
      <c r="G131" s="4"/>
      <c r="H131" s="4"/>
      <c r="I131" s="4"/>
      <c r="J131" s="4"/>
      <c r="K131" s="4"/>
      <c r="L131" s="4"/>
      <c r="M131" s="4">
        <v>1</v>
      </c>
      <c r="N131" s="43" t="s">
        <v>177</v>
      </c>
      <c r="O131" s="527" t="s">
        <v>151</v>
      </c>
      <c r="P131" s="527"/>
      <c r="Q131" s="527"/>
      <c r="R131" s="527"/>
      <c r="S131" s="527"/>
      <c r="T131" s="527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1:54" ht="9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528" t="s">
        <v>152</v>
      </c>
      <c r="P132" s="528"/>
      <c r="Q132" s="528"/>
      <c r="R132" s="528"/>
      <c r="S132" s="528"/>
      <c r="T132" s="528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1:54" ht="9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1:54" ht="9.75" customHeight="1" x14ac:dyDescent="0.2">
      <c r="A134" s="4"/>
      <c r="B134" s="4"/>
      <c r="C134" s="4" t="s">
        <v>169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1:54" ht="9.75" customHeight="1" x14ac:dyDescent="0.2">
      <c r="A135" s="4"/>
      <c r="B135" s="4"/>
      <c r="C135" s="4" t="s">
        <v>143</v>
      </c>
      <c r="D135" s="4"/>
      <c r="E135" s="4" t="s">
        <v>82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 t="s">
        <v>170</v>
      </c>
      <c r="U135" s="529">
        <f>U111</f>
        <v>29</v>
      </c>
      <c r="V135" s="529"/>
      <c r="W135" s="75" t="s">
        <v>85</v>
      </c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1:54" ht="9.75" customHeight="1" x14ac:dyDescent="0.2">
      <c r="A136" s="4"/>
      <c r="B136" s="4"/>
      <c r="C136" s="4" t="s">
        <v>144</v>
      </c>
      <c r="D136" s="4"/>
      <c r="E136" s="4" t="s">
        <v>81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 t="s">
        <v>170</v>
      </c>
      <c r="U136" s="529">
        <f>U112</f>
        <v>20</v>
      </c>
      <c r="V136" s="529"/>
      <c r="W136" s="75" t="s">
        <v>85</v>
      </c>
      <c r="X136" s="4" t="s">
        <v>195</v>
      </c>
      <c r="Y136" s="4"/>
      <c r="Z136" s="75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1:54" ht="9.75" customHeight="1" x14ac:dyDescent="0.2">
      <c r="A137" s="4"/>
      <c r="B137" s="4"/>
      <c r="C137" s="4" t="s">
        <v>145</v>
      </c>
      <c r="D137" s="4"/>
      <c r="E137" s="4" t="s">
        <v>83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 t="s">
        <v>170</v>
      </c>
      <c r="U137" s="530">
        <f>U113</f>
        <v>0</v>
      </c>
      <c r="V137" s="530"/>
      <c r="W137" s="75" t="s">
        <v>85</v>
      </c>
      <c r="X137" s="4" t="s">
        <v>194</v>
      </c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</row>
    <row r="138" spans="1:54" ht="9.75" customHeight="1" x14ac:dyDescent="0.2">
      <c r="A138" s="4"/>
      <c r="B138" s="4"/>
      <c r="C138" s="4" t="s">
        <v>146</v>
      </c>
      <c r="D138" s="4"/>
      <c r="E138" s="4" t="s">
        <v>80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 t="s">
        <v>170</v>
      </c>
      <c r="U138" s="537">
        <f>ATAN(E127/(1-E128))*180/PI()</f>
        <v>9.0665027398161762</v>
      </c>
      <c r="V138" s="537"/>
      <c r="W138" s="75" t="s">
        <v>85</v>
      </c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1:54" ht="9.75" customHeight="1" x14ac:dyDescent="0.2">
      <c r="A139" s="4"/>
      <c r="B139" s="4"/>
      <c r="C139" s="4" t="s">
        <v>153</v>
      </c>
      <c r="D139" s="4"/>
      <c r="E139" s="4" t="s">
        <v>84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 t="s">
        <v>170</v>
      </c>
      <c r="U139" s="538">
        <v>0</v>
      </c>
      <c r="V139" s="538"/>
      <c r="W139" s="75" t="s">
        <v>85</v>
      </c>
      <c r="X139" s="157"/>
      <c r="Y139" s="157"/>
      <c r="Z139" s="159"/>
      <c r="AA139" s="159"/>
      <c r="AB139" s="157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1:54" ht="9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6"/>
      <c r="V140" s="46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1:54" ht="9.75" customHeight="1" x14ac:dyDescent="0.2">
      <c r="A141" s="4"/>
      <c r="B141" s="4"/>
      <c r="C141" s="4" t="s">
        <v>148</v>
      </c>
      <c r="D141" s="4"/>
      <c r="E141" s="539">
        <f>COS((U135-U139-U138)*PI()/180)^2/(COS(U138*PI()/180)*COS(U139*PI()/180)^2*COS((U136+U139+U138)*PI()/180)*(1+SQRT(SIN((U135+U136)*PI()/180)*SIN((U135-U137-U138)*PI()/180)/COS((U136+U139+U138)*PI()/180)/COS((U137-U139)*PI()/180)))^2)</f>
        <v>0.43029999285642734</v>
      </c>
      <c r="F141" s="539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1:54" ht="9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1:54" ht="9.75" customHeight="1" x14ac:dyDescent="0.2">
      <c r="A143" s="4"/>
      <c r="B143" s="4"/>
      <c r="C143" s="4" t="s">
        <v>86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1:54" ht="11.85" customHeight="1" x14ac:dyDescent="0.25">
      <c r="A144" s="4"/>
      <c r="B144" s="4"/>
      <c r="C144" s="4" t="s">
        <v>154</v>
      </c>
      <c r="D144" s="4"/>
      <c r="E144" s="534">
        <v>0.5</v>
      </c>
      <c r="F144" s="534"/>
      <c r="G144" s="95" t="s">
        <v>155</v>
      </c>
      <c r="H144" s="4"/>
      <c r="I144" s="4"/>
      <c r="J144" s="4"/>
      <c r="K144" s="4"/>
      <c r="L144" s="4" t="s">
        <v>170</v>
      </c>
      <c r="M144" s="534">
        <v>0.5</v>
      </c>
      <c r="N144" s="534"/>
      <c r="O144" s="540">
        <f>R48</f>
        <v>1.8</v>
      </c>
      <c r="P144" s="541"/>
      <c r="Q144" s="542">
        <f>E141</f>
        <v>0.43029999285642734</v>
      </c>
      <c r="R144" s="541"/>
      <c r="S144" s="540">
        <f>C36</f>
        <v>4</v>
      </c>
      <c r="T144" s="541"/>
      <c r="U144" s="65">
        <v>1</v>
      </c>
      <c r="V144" s="66" t="s">
        <v>175</v>
      </c>
      <c r="W144" s="507">
        <f>E128</f>
        <v>0.06</v>
      </c>
      <c r="X144" s="507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1:54" ht="9.75" customHeight="1" x14ac:dyDescent="0.2">
      <c r="A145" s="4"/>
      <c r="B145" s="4"/>
      <c r="C145" s="4" t="s">
        <v>154</v>
      </c>
      <c r="D145" s="4"/>
      <c r="E145" s="510">
        <f>M144*O144*Q144*S144^2*(1-W144)</f>
        <v>5.8245407033046002</v>
      </c>
      <c r="F145" s="510"/>
      <c r="G145" s="4" t="s">
        <v>2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1:54" ht="9.75" customHeight="1" x14ac:dyDescent="0.2">
      <c r="A146" s="4"/>
      <c r="B146" s="4"/>
      <c r="C146" s="4" t="s">
        <v>156</v>
      </c>
      <c r="D146" s="4"/>
      <c r="E146" s="508">
        <f>E145-T119</f>
        <v>1.3798182880525642</v>
      </c>
      <c r="F146" s="543"/>
      <c r="G146" s="4" t="s">
        <v>1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1:54" ht="9.75" customHeight="1" x14ac:dyDescent="0.2">
      <c r="A147" s="4"/>
      <c r="B147" s="4"/>
      <c r="C147" s="45" t="s">
        <v>112</v>
      </c>
      <c r="D147" s="4"/>
      <c r="E147" s="507">
        <f>E146</f>
        <v>1.3798182880525642</v>
      </c>
      <c r="F147" s="507"/>
      <c r="G147" s="61" t="s">
        <v>1</v>
      </c>
      <c r="H147" s="4"/>
      <c r="I147" s="4"/>
      <c r="J147" s="4"/>
      <c r="K147" s="4"/>
      <c r="L147" s="4"/>
      <c r="M147" s="4"/>
      <c r="N147" s="4"/>
      <c r="O147" s="4"/>
      <c r="P147" s="4"/>
      <c r="Q147" s="4" t="s">
        <v>89</v>
      </c>
      <c r="R147" s="4"/>
      <c r="S147" s="516">
        <f>C36*0.6</f>
        <v>2.4</v>
      </c>
      <c r="T147" s="516"/>
      <c r="U147" s="12" t="s">
        <v>168</v>
      </c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1:54" ht="9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1:54" ht="9.75" customHeight="1" x14ac:dyDescent="0.2">
      <c r="A149" s="4"/>
      <c r="B149" s="4"/>
      <c r="C149" s="59" t="s">
        <v>87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1:54" ht="9.75" customHeight="1" x14ac:dyDescent="0.25">
      <c r="A150" s="4"/>
      <c r="B150" s="4"/>
      <c r="C150" s="4" t="s">
        <v>157</v>
      </c>
      <c r="D150" s="4"/>
      <c r="E150" s="95" t="s">
        <v>158</v>
      </c>
      <c r="F150" s="4"/>
      <c r="G150" s="43" t="s">
        <v>170</v>
      </c>
      <c r="H150" s="541">
        <f>AA19</f>
        <v>0.76</v>
      </c>
      <c r="I150" s="541"/>
      <c r="J150" s="540">
        <f>$R$48</f>
        <v>1.8</v>
      </c>
      <c r="K150" s="541"/>
      <c r="L150" s="4" t="s">
        <v>170</v>
      </c>
      <c r="M150" s="507">
        <f>H150*J150</f>
        <v>1.3680000000000001</v>
      </c>
      <c r="N150" s="507"/>
      <c r="O150" s="4" t="s">
        <v>31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1:54" ht="9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1:54" ht="9.75" customHeight="1" x14ac:dyDescent="0.2">
      <c r="A152" s="4"/>
      <c r="B152" s="4"/>
      <c r="C152" s="4" t="s">
        <v>159</v>
      </c>
      <c r="D152" s="4"/>
      <c r="E152" s="4" t="s">
        <v>160</v>
      </c>
      <c r="F152" s="4"/>
      <c r="G152" s="4"/>
      <c r="H152" s="542">
        <f>$E$116</f>
        <v>0.30866127883694694</v>
      </c>
      <c r="I152" s="541"/>
      <c r="J152" s="540">
        <f>M150</f>
        <v>1.3680000000000001</v>
      </c>
      <c r="K152" s="540"/>
      <c r="L152" s="540">
        <f>C36</f>
        <v>4</v>
      </c>
      <c r="M152" s="541"/>
      <c r="N152" s="57" t="s">
        <v>170</v>
      </c>
      <c r="O152" s="510">
        <f>H152*J152*L152</f>
        <v>1.6889945177957737</v>
      </c>
      <c r="P152" s="510"/>
      <c r="Q152" s="4" t="s">
        <v>2</v>
      </c>
      <c r="R152" s="4"/>
      <c r="S152" s="4"/>
      <c r="T152" s="4"/>
      <c r="U152" s="4"/>
      <c r="V152" s="4" t="s">
        <v>89</v>
      </c>
      <c r="W152" s="4"/>
      <c r="X152" s="511">
        <f>C36/2</f>
        <v>2</v>
      </c>
      <c r="Y152" s="511"/>
      <c r="Z152" s="12" t="s">
        <v>168</v>
      </c>
      <c r="AA152" s="4" t="s">
        <v>196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1:54" ht="9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1:54" ht="9.75" customHeight="1" x14ac:dyDescent="0.2">
      <c r="A154" s="4"/>
      <c r="B154" s="4"/>
      <c r="C154" s="4" t="s">
        <v>161</v>
      </c>
      <c r="D154" s="4"/>
      <c r="E154" s="4" t="s">
        <v>162</v>
      </c>
      <c r="F154" s="4"/>
      <c r="G154" s="4"/>
      <c r="H154" s="4"/>
      <c r="I154" s="4"/>
      <c r="J154" s="4"/>
      <c r="K154" s="4" t="s">
        <v>170</v>
      </c>
      <c r="L154" s="507">
        <f>M150</f>
        <v>1.3680000000000001</v>
      </c>
      <c r="M154" s="507"/>
      <c r="N154" s="507">
        <f>U41</f>
        <v>0.5</v>
      </c>
      <c r="O154" s="507"/>
      <c r="P154" s="4" t="s">
        <v>170</v>
      </c>
      <c r="Q154" s="510">
        <f>L154*N154</f>
        <v>0.68400000000000005</v>
      </c>
      <c r="R154" s="510"/>
      <c r="S154" s="4" t="s">
        <v>2</v>
      </c>
      <c r="T154" s="4"/>
      <c r="U154" s="4"/>
      <c r="V154" s="4" t="s">
        <v>88</v>
      </c>
      <c r="W154" s="4"/>
      <c r="X154" s="516">
        <f>J42+N42+Q42+R25+(U41/2)</f>
        <v>2.25</v>
      </c>
      <c r="Y154" s="516"/>
      <c r="Z154" s="12" t="s">
        <v>168</v>
      </c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1:54" ht="9.75" customHeight="1" x14ac:dyDescent="0.2">
      <c r="A155" s="4"/>
      <c r="B155" s="4"/>
      <c r="C155" s="4"/>
      <c r="D155" s="4"/>
      <c r="E155" s="4" t="s">
        <v>525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1:54" ht="9.75" customHeight="1" x14ac:dyDescent="0.2">
      <c r="A156" s="4"/>
      <c r="B156" s="4"/>
      <c r="C156" s="59" t="s">
        <v>90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1:54" ht="9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1:54" ht="9.75" customHeight="1" x14ac:dyDescent="0.2">
      <c r="A158" s="4"/>
      <c r="B158" s="4"/>
      <c r="C158" s="544" t="s">
        <v>42</v>
      </c>
      <c r="D158" s="545"/>
      <c r="E158" s="545"/>
      <c r="F158" s="547" t="s">
        <v>43</v>
      </c>
      <c r="G158" s="548"/>
      <c r="H158" s="548"/>
      <c r="I158" s="547" t="s">
        <v>44</v>
      </c>
      <c r="J158" s="548"/>
      <c r="K158" s="548"/>
      <c r="L158" s="547" t="s">
        <v>45</v>
      </c>
      <c r="M158" s="548"/>
      <c r="N158" s="548"/>
      <c r="O158" s="547" t="s">
        <v>47</v>
      </c>
      <c r="P158" s="548"/>
      <c r="Q158" s="549"/>
      <c r="R158" s="548" t="s">
        <v>49</v>
      </c>
      <c r="S158" s="548"/>
      <c r="T158" s="549"/>
      <c r="U158" s="548" t="s">
        <v>50</v>
      </c>
      <c r="V158" s="548"/>
      <c r="W158" s="549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1:54" ht="9.75" customHeight="1" x14ac:dyDescent="0.2">
      <c r="A159" s="4"/>
      <c r="B159" s="4"/>
      <c r="C159" s="546"/>
      <c r="D159" s="526"/>
      <c r="E159" s="526"/>
      <c r="F159" s="550" t="s">
        <v>182</v>
      </c>
      <c r="G159" s="488"/>
      <c r="H159" s="488"/>
      <c r="I159" s="550" t="s">
        <v>182</v>
      </c>
      <c r="J159" s="488"/>
      <c r="K159" s="488"/>
      <c r="L159" s="550" t="s">
        <v>46</v>
      </c>
      <c r="M159" s="488"/>
      <c r="N159" s="488"/>
      <c r="O159" s="550" t="s">
        <v>48</v>
      </c>
      <c r="P159" s="488"/>
      <c r="Q159" s="551"/>
      <c r="R159" s="488" t="s">
        <v>182</v>
      </c>
      <c r="S159" s="488"/>
      <c r="T159" s="551"/>
      <c r="U159" s="488" t="s">
        <v>51</v>
      </c>
      <c r="V159" s="488"/>
      <c r="W159" s="551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1:54" ht="9.75" customHeight="1" x14ac:dyDescent="0.2">
      <c r="A160" s="4"/>
      <c r="B160" s="4"/>
      <c r="C160" s="559">
        <v>1</v>
      </c>
      <c r="D160" s="560"/>
      <c r="E160" s="561"/>
      <c r="F160" s="553">
        <f>R25</f>
        <v>0.2</v>
      </c>
      <c r="G160" s="553"/>
      <c r="H160" s="553"/>
      <c r="I160" s="552">
        <f>F29</f>
        <v>1.1000000000000001</v>
      </c>
      <c r="J160" s="553"/>
      <c r="K160" s="554"/>
      <c r="L160" s="553">
        <f>R49</f>
        <v>2.4</v>
      </c>
      <c r="M160" s="553"/>
      <c r="N160" s="553"/>
      <c r="O160" s="552">
        <f>F160*I160*L160</f>
        <v>0.52800000000000002</v>
      </c>
      <c r="P160" s="553"/>
      <c r="Q160" s="554"/>
      <c r="R160" s="553">
        <f>J42+N42+Q42+(R25/2)</f>
        <v>1.9000000000000001</v>
      </c>
      <c r="S160" s="553"/>
      <c r="T160" s="553"/>
      <c r="U160" s="552">
        <f t="shared" ref="U160:U163" si="1">O160*R160</f>
        <v>1.0032000000000001</v>
      </c>
      <c r="V160" s="553"/>
      <c r="W160" s="55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1:54" ht="9.75" customHeight="1" x14ac:dyDescent="0.2">
      <c r="A161" s="4"/>
      <c r="B161" s="4"/>
      <c r="C161" s="555">
        <v>2</v>
      </c>
      <c r="D161" s="556"/>
      <c r="E161" s="557"/>
      <c r="F161" s="516">
        <f>N42</f>
        <v>0.83713366493826058</v>
      </c>
      <c r="G161" s="516"/>
      <c r="H161" s="516"/>
      <c r="I161" s="517">
        <f>AA36</f>
        <v>2.2999999999999998</v>
      </c>
      <c r="J161" s="516"/>
      <c r="K161" s="558"/>
      <c r="L161" s="516">
        <f>L160</f>
        <v>2.4</v>
      </c>
      <c r="M161" s="516"/>
      <c r="N161" s="516"/>
      <c r="O161" s="552">
        <f>F161*I161*L161</f>
        <v>4.6209778304591982</v>
      </c>
      <c r="P161" s="553"/>
      <c r="Q161" s="554"/>
      <c r="R161" s="516">
        <f>J42+(2/3*(N42))</f>
        <v>0.77095544502057978</v>
      </c>
      <c r="S161" s="516"/>
      <c r="T161" s="516"/>
      <c r="U161" s="517">
        <f t="shared" si="1"/>
        <v>3.5625680197119043</v>
      </c>
      <c r="V161" s="516"/>
      <c r="W161" s="558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1:54" ht="9.75" customHeight="1" x14ac:dyDescent="0.2">
      <c r="A162" s="4"/>
      <c r="B162" s="4"/>
      <c r="C162" s="555">
        <v>3</v>
      </c>
      <c r="D162" s="556"/>
      <c r="E162" s="557"/>
      <c r="F162" s="516">
        <f>P25+R25</f>
        <v>0.95</v>
      </c>
      <c r="G162" s="516"/>
      <c r="H162" s="516"/>
      <c r="I162" s="517">
        <f>AA36</f>
        <v>2.2999999999999998</v>
      </c>
      <c r="J162" s="516"/>
      <c r="K162" s="558"/>
      <c r="L162" s="516">
        <f>L161</f>
        <v>2.4</v>
      </c>
      <c r="M162" s="516"/>
      <c r="N162" s="516"/>
      <c r="O162" s="517">
        <f>F162*I162*L162</f>
        <v>5.2439999999999989</v>
      </c>
      <c r="P162" s="516"/>
      <c r="Q162" s="558"/>
      <c r="R162" s="516">
        <f>J42+N42+((Q42+R25)/2)</f>
        <v>1.5249999999999999</v>
      </c>
      <c r="S162" s="516"/>
      <c r="T162" s="516"/>
      <c r="U162" s="517">
        <f t="shared" si="1"/>
        <v>7.9970999999999979</v>
      </c>
      <c r="V162" s="516"/>
      <c r="W162" s="558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1:54" ht="9.75" customHeight="1" x14ac:dyDescent="0.2">
      <c r="A163" s="4"/>
      <c r="B163" s="4"/>
      <c r="C163" s="555">
        <v>4</v>
      </c>
      <c r="D163" s="556"/>
      <c r="E163" s="557"/>
      <c r="F163" s="516">
        <f>O44</f>
        <v>2.5</v>
      </c>
      <c r="G163" s="516"/>
      <c r="H163" s="516"/>
      <c r="I163" s="517">
        <f>G42</f>
        <v>0.6</v>
      </c>
      <c r="J163" s="516"/>
      <c r="K163" s="558"/>
      <c r="L163" s="516">
        <f>L162</f>
        <v>2.4</v>
      </c>
      <c r="M163" s="516"/>
      <c r="N163" s="516"/>
      <c r="O163" s="517">
        <f>F163*I163*L163</f>
        <v>3.5999999999999996</v>
      </c>
      <c r="P163" s="516"/>
      <c r="Q163" s="558"/>
      <c r="R163" s="516">
        <f>F163/2</f>
        <v>1.25</v>
      </c>
      <c r="S163" s="516"/>
      <c r="T163" s="516"/>
      <c r="U163" s="517">
        <f t="shared" si="1"/>
        <v>4.5</v>
      </c>
      <c r="V163" s="516"/>
      <c r="W163" s="558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1:54" ht="9.75" customHeight="1" x14ac:dyDescent="0.2">
      <c r="A164" s="4"/>
      <c r="B164" s="4"/>
      <c r="C164" s="555"/>
      <c r="D164" s="556"/>
      <c r="E164" s="557"/>
      <c r="F164" s="516"/>
      <c r="G164" s="516"/>
      <c r="H164" s="516"/>
      <c r="I164" s="517"/>
      <c r="J164" s="516"/>
      <c r="K164" s="558"/>
      <c r="L164" s="516"/>
      <c r="M164" s="516"/>
      <c r="N164" s="516"/>
      <c r="O164" s="517"/>
      <c r="P164" s="516"/>
      <c r="Q164" s="558"/>
      <c r="R164" s="516"/>
      <c r="S164" s="516"/>
      <c r="T164" s="516"/>
      <c r="U164" s="517"/>
      <c r="V164" s="516"/>
      <c r="W164" s="558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1:54" ht="9.75" customHeight="1" x14ac:dyDescent="0.2">
      <c r="A165" s="4"/>
      <c r="B165" s="4"/>
      <c r="C165" s="565"/>
      <c r="D165" s="566"/>
      <c r="E165" s="567"/>
      <c r="F165" s="563"/>
      <c r="G165" s="563"/>
      <c r="H165" s="563"/>
      <c r="I165" s="562"/>
      <c r="J165" s="563"/>
      <c r="K165" s="564"/>
      <c r="L165" s="563"/>
      <c r="M165" s="563"/>
      <c r="N165" s="563"/>
      <c r="O165" s="562"/>
      <c r="P165" s="563"/>
      <c r="Q165" s="564"/>
      <c r="R165" s="563"/>
      <c r="S165" s="563"/>
      <c r="T165" s="563"/>
      <c r="U165" s="562"/>
      <c r="V165" s="563"/>
      <c r="W165" s="56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1:54" ht="9.75" hidden="1" customHeight="1" x14ac:dyDescent="0.2">
      <c r="A166" s="4"/>
      <c r="B166" s="4"/>
      <c r="C166" s="565"/>
      <c r="D166" s="566"/>
      <c r="E166" s="567"/>
      <c r="F166" s="563"/>
      <c r="G166" s="563"/>
      <c r="H166" s="563"/>
      <c r="I166" s="562"/>
      <c r="J166" s="563"/>
      <c r="K166" s="564"/>
      <c r="L166" s="563"/>
      <c r="M166" s="563"/>
      <c r="N166" s="563"/>
      <c r="O166" s="562"/>
      <c r="P166" s="563"/>
      <c r="Q166" s="564"/>
      <c r="R166" s="563"/>
      <c r="S166" s="563"/>
      <c r="T166" s="563"/>
      <c r="U166" s="562"/>
      <c r="V166" s="563"/>
      <c r="W166" s="56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1:54" ht="9.75" customHeight="1" x14ac:dyDescent="0.2">
      <c r="A167" s="4"/>
      <c r="B167" s="4"/>
      <c r="C167" s="568" t="s">
        <v>100</v>
      </c>
      <c r="D167" s="566"/>
      <c r="E167" s="567"/>
      <c r="F167" s="563"/>
      <c r="G167" s="563"/>
      <c r="H167" s="563"/>
      <c r="I167" s="562"/>
      <c r="J167" s="563"/>
      <c r="K167" s="564"/>
      <c r="L167" s="563"/>
      <c r="M167" s="563"/>
      <c r="N167" s="563"/>
      <c r="O167" s="562">
        <f>SUM(O160:Q166)</f>
        <v>13.992977830459198</v>
      </c>
      <c r="P167" s="563"/>
      <c r="Q167" s="564"/>
      <c r="R167" s="563"/>
      <c r="S167" s="563"/>
      <c r="T167" s="563"/>
      <c r="U167" s="562">
        <f>SUM(U160:W166)</f>
        <v>17.062868019711903</v>
      </c>
      <c r="V167" s="563"/>
      <c r="W167" s="56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1:54" ht="9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1:54" ht="9.75" customHeight="1" x14ac:dyDescent="0.2">
      <c r="A169" s="4"/>
      <c r="B169" s="4"/>
      <c r="C169" s="59" t="s">
        <v>91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1:54" ht="9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1:54" ht="9.75" customHeight="1" x14ac:dyDescent="0.2">
      <c r="A171" s="4"/>
      <c r="B171" s="4"/>
      <c r="C171" s="544" t="s">
        <v>42</v>
      </c>
      <c r="D171" s="545"/>
      <c r="E171" s="545"/>
      <c r="F171" s="547" t="s">
        <v>43</v>
      </c>
      <c r="G171" s="548"/>
      <c r="H171" s="548"/>
      <c r="I171" s="547" t="s">
        <v>44</v>
      </c>
      <c r="J171" s="548"/>
      <c r="K171" s="548"/>
      <c r="L171" s="547" t="s">
        <v>45</v>
      </c>
      <c r="M171" s="548"/>
      <c r="N171" s="548"/>
      <c r="O171" s="547" t="s">
        <v>47</v>
      </c>
      <c r="P171" s="548"/>
      <c r="Q171" s="549"/>
      <c r="R171" s="548" t="s">
        <v>49</v>
      </c>
      <c r="S171" s="548"/>
      <c r="T171" s="549"/>
      <c r="U171" s="548" t="s">
        <v>50</v>
      </c>
      <c r="V171" s="548"/>
      <c r="W171" s="549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1:54" ht="9.75" customHeight="1" x14ac:dyDescent="0.2">
      <c r="A172" s="4"/>
      <c r="B172" s="4"/>
      <c r="C172" s="546"/>
      <c r="D172" s="526"/>
      <c r="E172" s="526"/>
      <c r="F172" s="550" t="s">
        <v>182</v>
      </c>
      <c r="G172" s="488"/>
      <c r="H172" s="488"/>
      <c r="I172" s="550" t="s">
        <v>182</v>
      </c>
      <c r="J172" s="488"/>
      <c r="K172" s="488"/>
      <c r="L172" s="550" t="s">
        <v>46</v>
      </c>
      <c r="M172" s="488"/>
      <c r="N172" s="488"/>
      <c r="O172" s="550" t="s">
        <v>48</v>
      </c>
      <c r="P172" s="488"/>
      <c r="Q172" s="551"/>
      <c r="R172" s="488" t="s">
        <v>182</v>
      </c>
      <c r="S172" s="488"/>
      <c r="T172" s="551"/>
      <c r="U172" s="488" t="s">
        <v>51</v>
      </c>
      <c r="V172" s="488"/>
      <c r="W172" s="551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1:54" ht="9.75" customHeight="1" x14ac:dyDescent="0.2">
      <c r="A173" s="4"/>
      <c r="B173" s="4"/>
      <c r="C173" s="559"/>
      <c r="D173" s="560"/>
      <c r="E173" s="561"/>
      <c r="F173" s="553"/>
      <c r="G173" s="553"/>
      <c r="H173" s="553"/>
      <c r="I173" s="552"/>
      <c r="J173" s="553"/>
      <c r="K173" s="554"/>
      <c r="L173" s="553"/>
      <c r="M173" s="553"/>
      <c r="N173" s="553"/>
      <c r="O173" s="552"/>
      <c r="P173" s="553"/>
      <c r="Q173" s="554"/>
      <c r="R173" s="553"/>
      <c r="S173" s="553"/>
      <c r="T173" s="553"/>
      <c r="U173" s="552"/>
      <c r="V173" s="553"/>
      <c r="W173" s="55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1:54" ht="9.75" customHeight="1" x14ac:dyDescent="0.2">
      <c r="A174" s="4"/>
      <c r="B174" s="4"/>
      <c r="C174" s="555">
        <v>8</v>
      </c>
      <c r="D174" s="556"/>
      <c r="E174" s="557"/>
      <c r="F174" s="516">
        <f>U41</f>
        <v>0.5</v>
      </c>
      <c r="G174" s="516"/>
      <c r="H174" s="516"/>
      <c r="I174" s="517">
        <f>C36-G42</f>
        <v>3.4</v>
      </c>
      <c r="J174" s="516"/>
      <c r="K174" s="558"/>
      <c r="L174" s="516">
        <f>R48</f>
        <v>1.8</v>
      </c>
      <c r="M174" s="516"/>
      <c r="N174" s="516"/>
      <c r="O174" s="517">
        <f>F174*I174*L174</f>
        <v>3.06</v>
      </c>
      <c r="P174" s="516"/>
      <c r="Q174" s="558"/>
      <c r="R174" s="516">
        <f>J42+N42+Q42+(U41/2)</f>
        <v>2.0499999999999998</v>
      </c>
      <c r="S174" s="516"/>
      <c r="T174" s="516"/>
      <c r="U174" s="517">
        <f>O174*R174</f>
        <v>6.2729999999999997</v>
      </c>
      <c r="V174" s="516"/>
      <c r="W174" s="558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1:54" ht="9.75" customHeight="1" x14ac:dyDescent="0.2">
      <c r="A175" s="4"/>
      <c r="B175" s="4"/>
      <c r="C175" s="565"/>
      <c r="D175" s="566"/>
      <c r="E175" s="567"/>
      <c r="F175" s="563"/>
      <c r="G175" s="563"/>
      <c r="H175" s="563"/>
      <c r="I175" s="562"/>
      <c r="J175" s="563"/>
      <c r="K175" s="564"/>
      <c r="L175" s="563"/>
      <c r="M175" s="563"/>
      <c r="N175" s="563"/>
      <c r="O175" s="562"/>
      <c r="P175" s="563"/>
      <c r="Q175" s="564"/>
      <c r="R175" s="563"/>
      <c r="S175" s="563"/>
      <c r="T175" s="563"/>
      <c r="U175" s="562"/>
      <c r="V175" s="563"/>
      <c r="W175" s="56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1:54" ht="9.75" customHeight="1" x14ac:dyDescent="0.2">
      <c r="A176" s="4"/>
      <c r="B176" s="4"/>
      <c r="C176" s="565"/>
      <c r="D176" s="566"/>
      <c r="E176" s="567"/>
      <c r="F176" s="563"/>
      <c r="G176" s="563"/>
      <c r="H176" s="563"/>
      <c r="I176" s="562"/>
      <c r="J176" s="563"/>
      <c r="K176" s="564"/>
      <c r="L176" s="563"/>
      <c r="M176" s="563"/>
      <c r="N176" s="563"/>
      <c r="O176" s="562"/>
      <c r="P176" s="563"/>
      <c r="Q176" s="564"/>
      <c r="R176" s="563"/>
      <c r="S176" s="563"/>
      <c r="T176" s="563"/>
      <c r="U176" s="562"/>
      <c r="V176" s="563"/>
      <c r="W176" s="56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1:54" ht="9.75" customHeight="1" x14ac:dyDescent="0.2">
      <c r="A177" s="4"/>
      <c r="B177" s="4"/>
      <c r="C177" s="568" t="s">
        <v>100</v>
      </c>
      <c r="D177" s="566"/>
      <c r="E177" s="567"/>
      <c r="F177" s="563"/>
      <c r="G177" s="563"/>
      <c r="H177" s="563"/>
      <c r="I177" s="562"/>
      <c r="J177" s="563"/>
      <c r="K177" s="564"/>
      <c r="L177" s="563"/>
      <c r="M177" s="563"/>
      <c r="N177" s="563"/>
      <c r="O177" s="562">
        <f>SUM(O173:Q175)</f>
        <v>3.06</v>
      </c>
      <c r="P177" s="563"/>
      <c r="Q177" s="564"/>
      <c r="R177" s="563"/>
      <c r="S177" s="563"/>
      <c r="T177" s="563"/>
      <c r="U177" s="562">
        <f>SUM(U173:W176)</f>
        <v>6.2729999999999997</v>
      </c>
      <c r="V177" s="563"/>
      <c r="W177" s="56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1:54" ht="9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1:54" ht="9.75" customHeight="1" x14ac:dyDescent="0.2">
      <c r="A179" s="4"/>
      <c r="B179" s="4"/>
      <c r="C179" s="59" t="s">
        <v>52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1:54" ht="9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63" t="s">
        <v>489</v>
      </c>
      <c r="S180" s="463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1:54" ht="9.75" customHeight="1" x14ac:dyDescent="0.2">
      <c r="A181" s="4"/>
      <c r="B181" s="4"/>
      <c r="C181" s="478" t="s">
        <v>53</v>
      </c>
      <c r="D181" s="478"/>
      <c r="E181" s="478"/>
      <c r="F181" s="478"/>
      <c r="G181" s="478"/>
      <c r="H181" s="478" t="s">
        <v>179</v>
      </c>
      <c r="I181" s="478"/>
      <c r="J181" s="478" t="s">
        <v>180</v>
      </c>
      <c r="K181" s="478"/>
      <c r="L181" s="478" t="s">
        <v>57</v>
      </c>
      <c r="M181" s="478"/>
      <c r="N181" s="478" t="s">
        <v>41</v>
      </c>
      <c r="O181" s="478"/>
      <c r="P181" s="478" t="s">
        <v>40</v>
      </c>
      <c r="Q181" s="478"/>
      <c r="R181" s="490" t="s">
        <v>98</v>
      </c>
      <c r="S181" s="490"/>
      <c r="T181" s="491" t="s">
        <v>93</v>
      </c>
      <c r="U181" s="491"/>
      <c r="V181" s="487" t="s">
        <v>173</v>
      </c>
      <c r="W181" s="483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1:54" ht="9.75" customHeight="1" x14ac:dyDescent="0.2">
      <c r="A182" s="4"/>
      <c r="B182" s="4"/>
      <c r="C182" s="474" t="s">
        <v>59</v>
      </c>
      <c r="D182" s="474"/>
      <c r="E182" s="474"/>
      <c r="F182" s="474"/>
      <c r="G182" s="474"/>
      <c r="H182" s="475">
        <v>0.9</v>
      </c>
      <c r="I182" s="475"/>
      <c r="J182" s="475">
        <v>0.65</v>
      </c>
      <c r="K182" s="475"/>
      <c r="L182" s="475"/>
      <c r="M182" s="475"/>
      <c r="N182" s="475">
        <v>1.5</v>
      </c>
      <c r="O182" s="475"/>
      <c r="P182" s="474">
        <v>1.35</v>
      </c>
      <c r="Q182" s="474"/>
      <c r="R182" s="475">
        <v>1.75</v>
      </c>
      <c r="S182" s="475"/>
      <c r="T182" s="475">
        <v>0</v>
      </c>
      <c r="U182" s="475"/>
      <c r="V182" s="475">
        <v>0.95</v>
      </c>
      <c r="W182" s="475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1:54" ht="9.75" customHeight="1" x14ac:dyDescent="0.2">
      <c r="A183" s="4"/>
      <c r="B183" s="4"/>
      <c r="C183" s="474" t="s">
        <v>62</v>
      </c>
      <c r="D183" s="474"/>
      <c r="E183" s="474"/>
      <c r="F183" s="474"/>
      <c r="G183" s="474"/>
      <c r="H183" s="475">
        <v>0.9</v>
      </c>
      <c r="I183" s="475"/>
      <c r="J183" s="475">
        <v>1.5</v>
      </c>
      <c r="K183" s="475"/>
      <c r="L183" s="475"/>
      <c r="M183" s="475"/>
      <c r="N183" s="475">
        <v>1.5</v>
      </c>
      <c r="O183" s="475"/>
      <c r="P183" s="474">
        <v>1.35</v>
      </c>
      <c r="Q183" s="474"/>
      <c r="R183" s="475">
        <v>1.75</v>
      </c>
      <c r="S183" s="475"/>
      <c r="T183" s="475">
        <v>0</v>
      </c>
      <c r="U183" s="475"/>
      <c r="V183" s="475">
        <v>0.95</v>
      </c>
      <c r="W183" s="475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1:54" ht="9.75" customHeight="1" x14ac:dyDescent="0.2">
      <c r="A184" s="4"/>
      <c r="B184" s="4"/>
      <c r="C184" s="474" t="s">
        <v>63</v>
      </c>
      <c r="D184" s="474"/>
      <c r="E184" s="474"/>
      <c r="F184" s="474"/>
      <c r="G184" s="474"/>
      <c r="H184" s="475">
        <v>1.25</v>
      </c>
      <c r="I184" s="475"/>
      <c r="J184" s="475">
        <v>0.65</v>
      </c>
      <c r="K184" s="475"/>
      <c r="L184" s="475"/>
      <c r="M184" s="475"/>
      <c r="N184" s="475">
        <v>1.5</v>
      </c>
      <c r="O184" s="475"/>
      <c r="P184" s="474">
        <v>1.35</v>
      </c>
      <c r="Q184" s="474"/>
      <c r="R184" s="475">
        <v>1.75</v>
      </c>
      <c r="S184" s="475"/>
      <c r="T184" s="475">
        <v>0</v>
      </c>
      <c r="U184" s="475"/>
      <c r="V184" s="475">
        <v>0.95</v>
      </c>
      <c r="W184" s="475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1:54" ht="9.75" customHeight="1" x14ac:dyDescent="0.2">
      <c r="A185" s="4"/>
      <c r="B185" s="4"/>
      <c r="C185" s="476" t="s">
        <v>64</v>
      </c>
      <c r="D185" s="476"/>
      <c r="E185" s="476"/>
      <c r="F185" s="476"/>
      <c r="G185" s="476"/>
      <c r="H185" s="489">
        <v>1.25</v>
      </c>
      <c r="I185" s="489"/>
      <c r="J185" s="489">
        <v>1.5</v>
      </c>
      <c r="K185" s="489"/>
      <c r="L185" s="489"/>
      <c r="M185" s="489"/>
      <c r="N185" s="489">
        <v>1.5</v>
      </c>
      <c r="O185" s="489"/>
      <c r="P185" s="476">
        <v>1.35</v>
      </c>
      <c r="Q185" s="476"/>
      <c r="R185" s="489">
        <v>1.75</v>
      </c>
      <c r="S185" s="489"/>
      <c r="T185" s="489">
        <v>0</v>
      </c>
      <c r="U185" s="489"/>
      <c r="V185" s="489">
        <v>0.95</v>
      </c>
      <c r="W185" s="489"/>
      <c r="X185" s="4"/>
      <c r="Y185" s="9"/>
      <c r="Z185" s="9"/>
      <c r="AA185" s="9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1:54" ht="9.75" customHeight="1" x14ac:dyDescent="0.2">
      <c r="A186" s="4"/>
      <c r="B186" s="4"/>
      <c r="C186" s="474" t="s">
        <v>94</v>
      </c>
      <c r="D186" s="474"/>
      <c r="E186" s="474"/>
      <c r="F186" s="474"/>
      <c r="G186" s="474"/>
      <c r="H186" s="475">
        <v>0.9</v>
      </c>
      <c r="I186" s="475"/>
      <c r="J186" s="475">
        <v>0.65</v>
      </c>
      <c r="K186" s="475"/>
      <c r="L186" s="475"/>
      <c r="M186" s="475"/>
      <c r="N186" s="475">
        <v>1.5</v>
      </c>
      <c r="O186" s="475"/>
      <c r="P186" s="474">
        <v>1.35</v>
      </c>
      <c r="Q186" s="474"/>
      <c r="R186" s="475">
        <v>0.5</v>
      </c>
      <c r="S186" s="475"/>
      <c r="T186" s="475">
        <v>1</v>
      </c>
      <c r="U186" s="475"/>
      <c r="V186" s="475">
        <v>1.05</v>
      </c>
      <c r="W186" s="475"/>
      <c r="X186" s="4"/>
      <c r="Y186" s="9"/>
      <c r="Z186" s="9"/>
      <c r="AA186" s="9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1:54" ht="9.75" customHeight="1" x14ac:dyDescent="0.2">
      <c r="A187" s="4"/>
      <c r="B187" s="4"/>
      <c r="C187" s="474" t="s">
        <v>95</v>
      </c>
      <c r="D187" s="474"/>
      <c r="E187" s="474"/>
      <c r="F187" s="474"/>
      <c r="G187" s="474"/>
      <c r="H187" s="475">
        <v>0.9</v>
      </c>
      <c r="I187" s="475"/>
      <c r="J187" s="475">
        <v>1.5</v>
      </c>
      <c r="K187" s="475"/>
      <c r="L187" s="475"/>
      <c r="M187" s="475"/>
      <c r="N187" s="475">
        <v>1.5</v>
      </c>
      <c r="O187" s="475"/>
      <c r="P187" s="474">
        <v>1.35</v>
      </c>
      <c r="Q187" s="474"/>
      <c r="R187" s="475">
        <v>0.5</v>
      </c>
      <c r="S187" s="475"/>
      <c r="T187" s="475">
        <v>1</v>
      </c>
      <c r="U187" s="475"/>
      <c r="V187" s="475">
        <v>1.05</v>
      </c>
      <c r="W187" s="475"/>
      <c r="X187" s="4"/>
      <c r="Y187" s="9"/>
      <c r="Z187" s="9"/>
      <c r="AA187" s="9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1:54" ht="9.75" customHeight="1" x14ac:dyDescent="0.2">
      <c r="A188" s="4"/>
      <c r="B188" s="4"/>
      <c r="C188" s="474" t="s">
        <v>96</v>
      </c>
      <c r="D188" s="474"/>
      <c r="E188" s="474"/>
      <c r="F188" s="474"/>
      <c r="G188" s="474"/>
      <c r="H188" s="475">
        <v>1.25</v>
      </c>
      <c r="I188" s="475"/>
      <c r="J188" s="475">
        <v>0.65</v>
      </c>
      <c r="K188" s="475"/>
      <c r="L188" s="475"/>
      <c r="M188" s="475"/>
      <c r="N188" s="475">
        <v>1.5</v>
      </c>
      <c r="O188" s="475"/>
      <c r="P188" s="474">
        <v>1.35</v>
      </c>
      <c r="Q188" s="474"/>
      <c r="R188" s="475">
        <v>0.5</v>
      </c>
      <c r="S188" s="475"/>
      <c r="T188" s="475">
        <v>1</v>
      </c>
      <c r="U188" s="475"/>
      <c r="V188" s="475">
        <v>1.05</v>
      </c>
      <c r="W188" s="475"/>
      <c r="X188" s="4"/>
      <c r="Y188" s="9"/>
      <c r="Z188" s="9"/>
      <c r="AA188" s="9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1:54" ht="9.75" customHeight="1" x14ac:dyDescent="0.2">
      <c r="A189" s="4"/>
      <c r="B189" s="4"/>
      <c r="C189" s="474" t="s">
        <v>97</v>
      </c>
      <c r="D189" s="474"/>
      <c r="E189" s="474"/>
      <c r="F189" s="474"/>
      <c r="G189" s="474"/>
      <c r="H189" s="475">
        <v>1.25</v>
      </c>
      <c r="I189" s="475"/>
      <c r="J189" s="475">
        <v>1.5</v>
      </c>
      <c r="K189" s="475"/>
      <c r="L189" s="475"/>
      <c r="M189" s="475"/>
      <c r="N189" s="475">
        <v>1.5</v>
      </c>
      <c r="O189" s="475"/>
      <c r="P189" s="474">
        <v>1.35</v>
      </c>
      <c r="Q189" s="474"/>
      <c r="R189" s="475">
        <v>0.5</v>
      </c>
      <c r="S189" s="475"/>
      <c r="T189" s="475">
        <v>1</v>
      </c>
      <c r="U189" s="475"/>
      <c r="V189" s="475">
        <v>1.05</v>
      </c>
      <c r="W189" s="475"/>
      <c r="X189" s="4"/>
      <c r="Y189" s="9"/>
      <c r="Z189" s="9"/>
      <c r="AA189" s="9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1:54" ht="9.75" customHeight="1" x14ac:dyDescent="0.2">
      <c r="A190" s="155"/>
      <c r="B190" s="155"/>
      <c r="C190" s="461"/>
      <c r="D190" s="461"/>
      <c r="E190" s="461"/>
      <c r="F190" s="461"/>
      <c r="G190" s="461"/>
      <c r="H190" s="462"/>
      <c r="I190" s="462"/>
      <c r="J190" s="462"/>
      <c r="K190" s="462"/>
      <c r="L190" s="462"/>
      <c r="M190" s="462"/>
      <c r="N190" s="462"/>
      <c r="O190" s="462"/>
      <c r="P190" s="461"/>
      <c r="Q190" s="461"/>
      <c r="R190" s="462"/>
      <c r="S190" s="462"/>
      <c r="T190" s="462"/>
      <c r="U190" s="462"/>
      <c r="V190" s="462"/>
      <c r="W190" s="462"/>
      <c r="X190" s="155"/>
      <c r="Y190" s="154"/>
      <c r="Z190" s="154"/>
      <c r="AA190" s="154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  <c r="AN190" s="155"/>
      <c r="AO190" s="155"/>
      <c r="AP190" s="155"/>
      <c r="AQ190" s="155"/>
      <c r="AR190" s="155"/>
      <c r="AS190" s="155"/>
      <c r="AT190" s="155"/>
      <c r="AU190" s="155"/>
      <c r="AV190" s="155"/>
      <c r="AW190" s="155"/>
      <c r="AX190" s="155"/>
      <c r="AY190" s="155"/>
      <c r="AZ190" s="155"/>
      <c r="BA190" s="155"/>
      <c r="BB190" s="155"/>
    </row>
    <row r="191" spans="1:54" ht="9.75" customHeight="1" x14ac:dyDescent="0.2">
      <c r="A191" s="155"/>
      <c r="B191" s="155"/>
      <c r="C191" s="461"/>
      <c r="D191" s="461"/>
      <c r="E191" s="461"/>
      <c r="F191" s="461"/>
      <c r="G191" s="461"/>
      <c r="H191" s="462"/>
      <c r="I191" s="462"/>
      <c r="J191" s="462"/>
      <c r="K191" s="462"/>
      <c r="L191" s="462"/>
      <c r="M191" s="462"/>
      <c r="N191" s="462"/>
      <c r="O191" s="462"/>
      <c r="P191" s="461"/>
      <c r="Q191" s="461"/>
      <c r="R191" s="462"/>
      <c r="S191" s="462"/>
      <c r="T191" s="462"/>
      <c r="U191" s="462"/>
      <c r="V191" s="462"/>
      <c r="W191" s="462"/>
      <c r="X191" s="155"/>
      <c r="Y191" s="154"/>
      <c r="Z191" s="154"/>
      <c r="AA191" s="154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5"/>
      <c r="AL191" s="155"/>
      <c r="AM191" s="155"/>
      <c r="AN191" s="155"/>
      <c r="AO191" s="155"/>
      <c r="AP191" s="155"/>
      <c r="AQ191" s="155"/>
      <c r="AR191" s="155"/>
      <c r="AS191" s="155"/>
      <c r="AT191" s="155"/>
      <c r="AU191" s="155"/>
      <c r="AV191" s="155"/>
      <c r="AW191" s="155"/>
      <c r="AX191" s="155"/>
      <c r="AY191" s="155"/>
      <c r="AZ191" s="155"/>
      <c r="BA191" s="155"/>
      <c r="BB191" s="155"/>
    </row>
    <row r="192" spans="1:54" ht="9.75" customHeight="1" x14ac:dyDescent="0.2">
      <c r="A192" s="155"/>
      <c r="B192" s="155"/>
      <c r="C192" s="461"/>
      <c r="D192" s="461"/>
      <c r="E192" s="461"/>
      <c r="F192" s="461"/>
      <c r="G192" s="461"/>
      <c r="H192" s="462"/>
      <c r="I192" s="462"/>
      <c r="J192" s="462"/>
      <c r="K192" s="462"/>
      <c r="L192" s="462"/>
      <c r="M192" s="462"/>
      <c r="N192" s="462"/>
      <c r="O192" s="462"/>
      <c r="P192" s="461"/>
      <c r="Q192" s="461"/>
      <c r="R192" s="462"/>
      <c r="S192" s="462"/>
      <c r="T192" s="462"/>
      <c r="U192" s="462"/>
      <c r="V192" s="462"/>
      <c r="W192" s="462"/>
      <c r="X192" s="155"/>
      <c r="Y192" s="154"/>
      <c r="Z192" s="154"/>
      <c r="AA192" s="154"/>
      <c r="AB192" s="155"/>
      <c r="AC192" s="155"/>
      <c r="AD192" s="155"/>
      <c r="AE192" s="155"/>
      <c r="AF192" s="155"/>
      <c r="AG192" s="155"/>
      <c r="AH192" s="155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5"/>
      <c r="AS192" s="155"/>
      <c r="AT192" s="155"/>
      <c r="AU192" s="155"/>
      <c r="AV192" s="155"/>
      <c r="AW192" s="155"/>
      <c r="AX192" s="155"/>
      <c r="AY192" s="155"/>
      <c r="AZ192" s="155"/>
      <c r="BA192" s="155"/>
      <c r="BB192" s="155"/>
    </row>
    <row r="193" spans="1:54" ht="9.75" customHeight="1" x14ac:dyDescent="0.2">
      <c r="A193" s="155"/>
      <c r="B193" s="155"/>
      <c r="C193" s="155"/>
      <c r="D193" s="155"/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55"/>
      <c r="R193" s="463" t="s">
        <v>489</v>
      </c>
      <c r="S193" s="463"/>
      <c r="T193" s="155"/>
      <c r="U193" s="155"/>
      <c r="V193" s="155"/>
      <c r="W193" s="155"/>
      <c r="X193" s="155"/>
      <c r="Y193" s="154"/>
      <c r="Z193" s="154"/>
      <c r="AA193" s="154"/>
      <c r="AB193" s="155"/>
      <c r="AC193" s="155"/>
      <c r="AD193" s="155"/>
      <c r="AE193" s="155"/>
      <c r="AF193" s="155"/>
      <c r="AG193" s="155"/>
      <c r="AH193" s="155"/>
      <c r="AI193" s="155"/>
      <c r="AJ193" s="155"/>
      <c r="AK193" s="155"/>
      <c r="AL193" s="155"/>
      <c r="AM193" s="155"/>
      <c r="AN193" s="155"/>
      <c r="AO193" s="155"/>
      <c r="AP193" s="155"/>
      <c r="AQ193" s="155"/>
      <c r="AR193" s="155"/>
      <c r="AS193" s="155"/>
      <c r="AT193" s="155"/>
      <c r="AU193" s="155"/>
      <c r="AV193" s="155"/>
      <c r="AW193" s="155"/>
      <c r="AX193" s="155"/>
      <c r="AY193" s="155"/>
      <c r="AZ193" s="155"/>
      <c r="BA193" s="155"/>
      <c r="BB193" s="155"/>
    </row>
    <row r="194" spans="1:54" ht="9.75" customHeight="1" x14ac:dyDescent="0.2">
      <c r="A194" s="155"/>
      <c r="B194" s="155"/>
      <c r="C194" s="478" t="s">
        <v>53</v>
      </c>
      <c r="D194" s="478"/>
      <c r="E194" s="478"/>
      <c r="F194" s="478"/>
      <c r="G194" s="478"/>
      <c r="H194" s="478" t="s">
        <v>179</v>
      </c>
      <c r="I194" s="478"/>
      <c r="J194" s="478" t="s">
        <v>180</v>
      </c>
      <c r="K194" s="478"/>
      <c r="L194" s="478" t="s">
        <v>57</v>
      </c>
      <c r="M194" s="478"/>
      <c r="N194" s="478" t="s">
        <v>41</v>
      </c>
      <c r="O194" s="478"/>
      <c r="P194" s="478" t="s">
        <v>40</v>
      </c>
      <c r="Q194" s="478"/>
      <c r="R194" s="490" t="s">
        <v>98</v>
      </c>
      <c r="S194" s="490"/>
      <c r="T194" s="491" t="s">
        <v>93</v>
      </c>
      <c r="U194" s="491"/>
      <c r="V194" s="487" t="s">
        <v>173</v>
      </c>
      <c r="W194" s="483"/>
      <c r="X194" s="155"/>
      <c r="Y194" s="154"/>
      <c r="Z194" s="154"/>
      <c r="AA194" s="154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  <c r="AN194" s="155"/>
      <c r="AO194" s="155"/>
      <c r="AP194" s="155"/>
      <c r="AQ194" s="155"/>
      <c r="AR194" s="155"/>
      <c r="AS194" s="155"/>
      <c r="AT194" s="155"/>
      <c r="AU194" s="155"/>
      <c r="AV194" s="155"/>
      <c r="AW194" s="155"/>
      <c r="AX194" s="155"/>
      <c r="AY194" s="155"/>
      <c r="AZ194" s="155"/>
      <c r="BA194" s="155"/>
      <c r="BB194" s="155"/>
    </row>
    <row r="195" spans="1:54" ht="9.75" customHeight="1" x14ac:dyDescent="0.2">
      <c r="A195" s="155"/>
      <c r="B195" s="155"/>
      <c r="C195" s="476" t="s">
        <v>491</v>
      </c>
      <c r="D195" s="476"/>
      <c r="E195" s="476"/>
      <c r="F195" s="476"/>
      <c r="G195" s="476"/>
      <c r="H195" s="489">
        <v>1</v>
      </c>
      <c r="I195" s="489"/>
      <c r="J195" s="489">
        <v>1</v>
      </c>
      <c r="K195" s="489"/>
      <c r="L195" s="489"/>
      <c r="M195" s="489"/>
      <c r="N195" s="489">
        <v>1</v>
      </c>
      <c r="O195" s="489"/>
      <c r="P195" s="489">
        <v>1</v>
      </c>
      <c r="Q195" s="489"/>
      <c r="R195" s="489">
        <v>1</v>
      </c>
      <c r="S195" s="489"/>
      <c r="T195" s="489">
        <v>0</v>
      </c>
      <c r="U195" s="489"/>
      <c r="V195" s="489">
        <v>0.95</v>
      </c>
      <c r="W195" s="489"/>
      <c r="X195" s="155"/>
      <c r="Y195" s="154"/>
      <c r="Z195" s="154"/>
      <c r="AA195" s="154"/>
      <c r="AB195" s="155"/>
      <c r="AC195" s="155"/>
      <c r="AD195" s="155"/>
      <c r="AE195" s="155"/>
      <c r="AF195" s="155"/>
      <c r="AG195" s="155"/>
      <c r="AH195" s="155"/>
      <c r="AI195" s="155"/>
      <c r="AJ195" s="155"/>
      <c r="AK195" s="155"/>
      <c r="AL195" s="155"/>
      <c r="AM195" s="155"/>
      <c r="AN195" s="155"/>
      <c r="AO195" s="155"/>
      <c r="AP195" s="155"/>
      <c r="AQ195" s="155"/>
      <c r="AR195" s="155"/>
      <c r="AS195" s="155"/>
      <c r="AT195" s="155"/>
      <c r="AU195" s="155"/>
      <c r="AV195" s="155"/>
      <c r="AW195" s="155"/>
      <c r="AX195" s="155"/>
      <c r="AY195" s="155"/>
      <c r="AZ195" s="155"/>
      <c r="BA195" s="155"/>
      <c r="BB195" s="155"/>
    </row>
    <row r="196" spans="1:54" ht="9.75" customHeight="1" x14ac:dyDescent="0.2">
      <c r="A196" s="155"/>
      <c r="B196" s="155"/>
      <c r="C196" s="474" t="s">
        <v>492</v>
      </c>
      <c r="D196" s="474"/>
      <c r="E196" s="474"/>
      <c r="F196" s="474"/>
      <c r="G196" s="474"/>
      <c r="H196" s="475">
        <v>1</v>
      </c>
      <c r="I196" s="475"/>
      <c r="J196" s="475">
        <v>1</v>
      </c>
      <c r="K196" s="475"/>
      <c r="L196" s="475"/>
      <c r="M196" s="475"/>
      <c r="N196" s="475">
        <v>1</v>
      </c>
      <c r="O196" s="475"/>
      <c r="P196" s="475">
        <v>1</v>
      </c>
      <c r="Q196" s="475"/>
      <c r="R196" s="475">
        <v>1.3</v>
      </c>
      <c r="S196" s="475"/>
      <c r="T196" s="475">
        <v>0</v>
      </c>
      <c r="U196" s="475"/>
      <c r="V196" s="475">
        <v>0.95</v>
      </c>
      <c r="W196" s="475"/>
      <c r="X196" s="155"/>
      <c r="Y196" s="154"/>
      <c r="Z196" s="154"/>
      <c r="AA196" s="154"/>
      <c r="AB196" s="155"/>
      <c r="AC196" s="155"/>
      <c r="AD196" s="155"/>
      <c r="AE196" s="155"/>
      <c r="AF196" s="155"/>
      <c r="AG196" s="155"/>
      <c r="AH196" s="155"/>
      <c r="AI196" s="155"/>
      <c r="AJ196" s="155"/>
      <c r="AK196" s="155"/>
      <c r="AL196" s="155"/>
      <c r="AM196" s="155"/>
      <c r="AN196" s="155"/>
      <c r="AO196" s="155"/>
      <c r="AP196" s="155"/>
      <c r="AQ196" s="155"/>
      <c r="AR196" s="155"/>
      <c r="AS196" s="155"/>
      <c r="AT196" s="155"/>
      <c r="AU196" s="155"/>
      <c r="AV196" s="155"/>
      <c r="AW196" s="155"/>
      <c r="AX196" s="155"/>
      <c r="AY196" s="155"/>
      <c r="AZ196" s="155"/>
      <c r="BA196" s="155"/>
      <c r="BB196" s="155"/>
    </row>
    <row r="197" spans="1:54" ht="9.75" customHeight="1" x14ac:dyDescent="0.2">
      <c r="A197" s="155"/>
      <c r="B197" s="155"/>
      <c r="C197" s="474" t="s">
        <v>493</v>
      </c>
      <c r="D197" s="474"/>
      <c r="E197" s="474"/>
      <c r="F197" s="474"/>
      <c r="G197" s="474"/>
      <c r="H197" s="475">
        <v>1</v>
      </c>
      <c r="I197" s="475"/>
      <c r="J197" s="475">
        <v>1</v>
      </c>
      <c r="K197" s="475"/>
      <c r="L197" s="475"/>
      <c r="M197" s="475"/>
      <c r="N197" s="475">
        <v>1</v>
      </c>
      <c r="O197" s="475"/>
      <c r="P197" s="475">
        <v>1</v>
      </c>
      <c r="Q197" s="475"/>
      <c r="R197" s="475">
        <v>0.8</v>
      </c>
      <c r="S197" s="475"/>
      <c r="T197" s="475">
        <v>0</v>
      </c>
      <c r="U197" s="475"/>
      <c r="V197" s="475">
        <v>0.95</v>
      </c>
      <c r="W197" s="475"/>
      <c r="X197" s="155"/>
      <c r="Y197" s="154"/>
      <c r="Z197" s="154"/>
      <c r="AA197" s="154"/>
      <c r="AB197" s="155"/>
      <c r="AC197" s="155"/>
      <c r="AD197" s="155"/>
      <c r="AE197" s="155"/>
      <c r="AF197" s="155"/>
      <c r="AG197" s="155"/>
      <c r="AH197" s="155"/>
      <c r="AI197" s="155"/>
      <c r="AJ197" s="155"/>
      <c r="AK197" s="155"/>
      <c r="AL197" s="155"/>
      <c r="AM197" s="155"/>
      <c r="AN197" s="155"/>
      <c r="AO197" s="155"/>
      <c r="AP197" s="155"/>
      <c r="AQ197" s="155"/>
      <c r="AR197" s="155"/>
      <c r="AS197" s="155"/>
      <c r="AT197" s="155"/>
      <c r="AU197" s="155"/>
      <c r="AV197" s="155"/>
      <c r="AW197" s="155"/>
      <c r="AX197" s="155"/>
      <c r="AY197" s="155"/>
      <c r="AZ197" s="155"/>
      <c r="BA197" s="155"/>
      <c r="BB197" s="155"/>
    </row>
    <row r="198" spans="1:54" ht="9.75" customHeight="1" x14ac:dyDescent="0.2">
      <c r="A198" s="155"/>
      <c r="B198" s="155"/>
      <c r="C198" s="476" t="s">
        <v>59</v>
      </c>
      <c r="D198" s="476"/>
      <c r="E198" s="476"/>
      <c r="F198" s="476"/>
      <c r="G198" s="476"/>
      <c r="H198" s="489">
        <v>1.25</v>
      </c>
      <c r="I198" s="489"/>
      <c r="J198" s="489">
        <v>1.5</v>
      </c>
      <c r="K198" s="489"/>
      <c r="L198" s="489"/>
      <c r="M198" s="489"/>
      <c r="N198" s="489">
        <v>1.5</v>
      </c>
      <c r="O198" s="489"/>
      <c r="P198" s="476">
        <v>1.35</v>
      </c>
      <c r="Q198" s="476"/>
      <c r="R198" s="489">
        <v>1.75</v>
      </c>
      <c r="S198" s="489"/>
      <c r="T198" s="489">
        <v>0</v>
      </c>
      <c r="U198" s="489"/>
      <c r="V198" s="489">
        <v>0.95</v>
      </c>
      <c r="W198" s="489"/>
      <c r="X198" s="155"/>
      <c r="Y198" s="154"/>
      <c r="Z198" s="154"/>
      <c r="AA198" s="154"/>
      <c r="AB198" s="155"/>
      <c r="AC198" s="155"/>
      <c r="AD198" s="155"/>
      <c r="AE198" s="155"/>
      <c r="AF198" s="155"/>
      <c r="AG198" s="155"/>
      <c r="AH198" s="155"/>
      <c r="AI198" s="155"/>
      <c r="AJ198" s="155"/>
      <c r="AK198" s="155"/>
      <c r="AL198" s="155"/>
      <c r="AM198" s="155"/>
      <c r="AN198" s="155"/>
      <c r="AO198" s="155"/>
      <c r="AP198" s="155"/>
      <c r="AQ198" s="155"/>
      <c r="AR198" s="155"/>
      <c r="AS198" s="155"/>
      <c r="AT198" s="155"/>
      <c r="AU198" s="155"/>
      <c r="AV198" s="155"/>
      <c r="AW198" s="155"/>
      <c r="AX198" s="155"/>
      <c r="AY198" s="155"/>
      <c r="AZ198" s="155"/>
      <c r="BA198" s="155"/>
      <c r="BB198" s="155"/>
    </row>
    <row r="199" spans="1:54" ht="9.75" customHeight="1" x14ac:dyDescent="0.2">
      <c r="A199" s="155"/>
      <c r="B199" s="155"/>
      <c r="C199" s="474" t="s">
        <v>490</v>
      </c>
      <c r="D199" s="474"/>
      <c r="E199" s="474"/>
      <c r="F199" s="474"/>
      <c r="G199" s="474"/>
      <c r="H199" s="475">
        <v>1.25</v>
      </c>
      <c r="I199" s="475"/>
      <c r="J199" s="475">
        <v>1.5</v>
      </c>
      <c r="K199" s="475"/>
      <c r="L199" s="475"/>
      <c r="M199" s="475"/>
      <c r="N199" s="475">
        <v>1.5</v>
      </c>
      <c r="O199" s="475"/>
      <c r="P199" s="474">
        <v>1.35</v>
      </c>
      <c r="Q199" s="474"/>
      <c r="R199" s="475">
        <v>1.35</v>
      </c>
      <c r="S199" s="475"/>
      <c r="T199" s="475">
        <v>0</v>
      </c>
      <c r="U199" s="475"/>
      <c r="V199" s="475">
        <v>0.95</v>
      </c>
      <c r="W199" s="475"/>
      <c r="X199" s="155"/>
      <c r="Y199" s="154"/>
      <c r="Z199" s="154"/>
      <c r="AA199" s="154"/>
      <c r="AB199" s="155"/>
      <c r="AC199" s="155"/>
      <c r="AD199" s="155"/>
      <c r="AE199" s="155"/>
      <c r="AF199" s="155"/>
      <c r="AG199" s="155"/>
      <c r="AH199" s="155"/>
      <c r="AI199" s="155"/>
      <c r="AJ199" s="155"/>
      <c r="AK199" s="155"/>
      <c r="AL199" s="155"/>
      <c r="AM199" s="155"/>
      <c r="AN199" s="155"/>
      <c r="AO199" s="155"/>
      <c r="AP199" s="155"/>
      <c r="AQ199" s="155"/>
      <c r="AR199" s="155"/>
      <c r="AS199" s="155"/>
      <c r="AT199" s="155"/>
      <c r="AU199" s="155"/>
      <c r="AV199" s="155"/>
      <c r="AW199" s="155"/>
      <c r="AX199" s="155"/>
      <c r="AY199" s="155"/>
      <c r="AZ199" s="155"/>
      <c r="BA199" s="155"/>
      <c r="BB199" s="155"/>
    </row>
    <row r="200" spans="1:54" ht="9.75" customHeight="1" x14ac:dyDescent="0.2">
      <c r="A200" s="155"/>
      <c r="B200" s="155"/>
      <c r="C200" s="476" t="s">
        <v>94</v>
      </c>
      <c r="D200" s="476"/>
      <c r="E200" s="476"/>
      <c r="F200" s="476"/>
      <c r="G200" s="476"/>
      <c r="H200" s="489">
        <v>1.25</v>
      </c>
      <c r="I200" s="489"/>
      <c r="J200" s="489">
        <v>1.5</v>
      </c>
      <c r="K200" s="489"/>
      <c r="L200" s="489"/>
      <c r="M200" s="489"/>
      <c r="N200" s="489">
        <v>1.5</v>
      </c>
      <c r="O200" s="489"/>
      <c r="P200" s="476">
        <v>1.35</v>
      </c>
      <c r="Q200" s="476"/>
      <c r="R200" s="489">
        <v>0.5</v>
      </c>
      <c r="S200" s="489"/>
      <c r="T200" s="489">
        <v>1</v>
      </c>
      <c r="U200" s="489"/>
      <c r="V200" s="489">
        <v>1.05</v>
      </c>
      <c r="W200" s="489"/>
      <c r="X200" s="155"/>
      <c r="Y200" s="154"/>
      <c r="Z200" s="154"/>
      <c r="AA200" s="154"/>
      <c r="AB200" s="155"/>
      <c r="AC200" s="155"/>
      <c r="AD200" s="155"/>
      <c r="AE200" s="155"/>
      <c r="AF200" s="155"/>
      <c r="AG200" s="155"/>
      <c r="AH200" s="155"/>
      <c r="AI200" s="155"/>
      <c r="AJ200" s="155"/>
      <c r="AK200" s="155"/>
      <c r="AL200" s="155"/>
      <c r="AM200" s="155"/>
      <c r="AN200" s="155"/>
      <c r="AO200" s="155"/>
      <c r="AP200" s="155"/>
      <c r="AQ200" s="155"/>
      <c r="AR200" s="155"/>
      <c r="AS200" s="155"/>
      <c r="AT200" s="155"/>
      <c r="AU200" s="155"/>
      <c r="AV200" s="155"/>
      <c r="AW200" s="155"/>
      <c r="AX200" s="155"/>
      <c r="AY200" s="155"/>
      <c r="AZ200" s="155"/>
      <c r="BA200" s="155"/>
      <c r="BB200" s="155"/>
    </row>
    <row r="201" spans="1:54" ht="9.75" customHeight="1" x14ac:dyDescent="0.2">
      <c r="A201" s="155"/>
      <c r="B201" s="155"/>
      <c r="C201" s="461"/>
      <c r="D201" s="461"/>
      <c r="E201" s="461"/>
      <c r="F201" s="461"/>
      <c r="G201" s="461"/>
      <c r="H201" s="462"/>
      <c r="I201" s="462"/>
      <c r="J201" s="462"/>
      <c r="K201" s="462"/>
      <c r="L201" s="462"/>
      <c r="M201" s="462"/>
      <c r="N201" s="462"/>
      <c r="O201" s="462"/>
      <c r="P201" s="461"/>
      <c r="Q201" s="461"/>
      <c r="R201" s="462"/>
      <c r="S201" s="462"/>
      <c r="T201" s="462"/>
      <c r="U201" s="462"/>
      <c r="V201" s="462"/>
      <c r="W201" s="462"/>
      <c r="X201" s="155"/>
      <c r="Y201" s="154"/>
      <c r="Z201" s="154"/>
      <c r="AA201" s="154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  <c r="AL201" s="155"/>
      <c r="AM201" s="155"/>
      <c r="AN201" s="155"/>
      <c r="AO201" s="155"/>
      <c r="AP201" s="155"/>
      <c r="AQ201" s="155"/>
      <c r="AR201" s="155"/>
      <c r="AS201" s="155"/>
      <c r="AT201" s="155"/>
      <c r="AU201" s="155"/>
      <c r="AV201" s="155"/>
      <c r="AW201" s="155"/>
      <c r="AX201" s="155"/>
      <c r="AY201" s="155"/>
      <c r="AZ201" s="155"/>
      <c r="BA201" s="155"/>
      <c r="BB201" s="155"/>
    </row>
    <row r="202" spans="1:54" ht="9.75" customHeight="1" x14ac:dyDescent="0.2">
      <c r="A202" s="155"/>
      <c r="B202" s="155"/>
      <c r="C202" s="461"/>
      <c r="D202" s="461"/>
      <c r="E202" s="461"/>
      <c r="F202" s="461"/>
      <c r="G202" s="461"/>
      <c r="H202" s="462"/>
      <c r="I202" s="462"/>
      <c r="J202" s="462"/>
      <c r="K202" s="462"/>
      <c r="L202" s="462"/>
      <c r="M202" s="462"/>
      <c r="N202" s="462"/>
      <c r="O202" s="462"/>
      <c r="P202" s="461"/>
      <c r="Q202" s="461"/>
      <c r="R202" s="462"/>
      <c r="S202" s="462"/>
      <c r="T202" s="462"/>
      <c r="U202" s="462"/>
      <c r="V202" s="462"/>
      <c r="W202" s="462"/>
      <c r="X202" s="155"/>
      <c r="Y202" s="154"/>
      <c r="Z202" s="154"/>
      <c r="AA202" s="154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55"/>
      <c r="AM202" s="155"/>
      <c r="AN202" s="155"/>
      <c r="AO202" s="155"/>
      <c r="AP202" s="155"/>
      <c r="AQ202" s="155"/>
      <c r="AR202" s="155"/>
      <c r="AS202" s="155"/>
      <c r="AT202" s="155"/>
      <c r="AU202" s="155"/>
      <c r="AV202" s="155"/>
      <c r="AW202" s="155"/>
      <c r="AX202" s="155"/>
      <c r="AY202" s="155"/>
      <c r="AZ202" s="155"/>
      <c r="BA202" s="155"/>
      <c r="BB202" s="155"/>
    </row>
    <row r="203" spans="1:54" ht="9.75" customHeight="1" x14ac:dyDescent="0.2">
      <c r="A203" s="155"/>
      <c r="B203" s="155"/>
      <c r="C203" s="461"/>
      <c r="D203" s="461"/>
      <c r="E203" s="461"/>
      <c r="F203" s="461"/>
      <c r="G203" s="461"/>
      <c r="H203" s="462"/>
      <c r="I203" s="462"/>
      <c r="J203" s="462"/>
      <c r="K203" s="462"/>
      <c r="L203" s="462"/>
      <c r="M203" s="462"/>
      <c r="N203" s="462"/>
      <c r="O203" s="462"/>
      <c r="P203" s="461"/>
      <c r="Q203" s="461"/>
      <c r="R203" s="462"/>
      <c r="S203" s="462"/>
      <c r="T203" s="462"/>
      <c r="U203" s="462"/>
      <c r="V203" s="462"/>
      <c r="W203" s="462"/>
      <c r="X203" s="155"/>
      <c r="Y203" s="154"/>
      <c r="Z203" s="154"/>
      <c r="AA203" s="154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55"/>
      <c r="AM203" s="155"/>
      <c r="AN203" s="155"/>
      <c r="AO203" s="155"/>
      <c r="AP203" s="155"/>
      <c r="AQ203" s="155"/>
      <c r="AR203" s="155"/>
      <c r="AS203" s="155"/>
      <c r="AT203" s="155"/>
      <c r="AU203" s="155"/>
      <c r="AV203" s="155"/>
      <c r="AW203" s="155"/>
      <c r="AX203" s="155"/>
      <c r="AY203" s="155"/>
      <c r="AZ203" s="155"/>
      <c r="BA203" s="155"/>
      <c r="BB203" s="155"/>
    </row>
    <row r="204" spans="1:54" ht="9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1:54" ht="9.75" customHeight="1" x14ac:dyDescent="0.2">
      <c r="A205" s="4"/>
      <c r="B205" s="4"/>
      <c r="C205" s="59" t="s">
        <v>66</v>
      </c>
      <c r="D205" s="4"/>
      <c r="E205" s="4"/>
      <c r="F205" s="4"/>
      <c r="G205" s="4"/>
      <c r="H205" s="4"/>
      <c r="I205" s="4"/>
      <c r="J205" s="4"/>
      <c r="K205" s="4"/>
      <c r="L205" s="4"/>
      <c r="M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1:54" ht="9.75" customHeight="1" x14ac:dyDescent="0.2">
      <c r="A206" s="4"/>
      <c r="B206" s="4"/>
      <c r="C206" s="4" t="s">
        <v>60</v>
      </c>
      <c r="D206" s="4"/>
      <c r="E206" s="4"/>
      <c r="F206" s="4"/>
      <c r="G206" s="4"/>
      <c r="H206" s="4"/>
      <c r="I206" s="4"/>
      <c r="J206" s="4"/>
      <c r="K206" s="4"/>
      <c r="L206" s="4"/>
      <c r="O206" s="4"/>
      <c r="P206" s="4"/>
      <c r="Q206" s="4" t="s">
        <v>65</v>
      </c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1:54" ht="9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1:54" ht="9.75" customHeight="1" x14ac:dyDescent="0.2">
      <c r="A208" s="4"/>
      <c r="B208" s="4"/>
      <c r="C208" s="544" t="s">
        <v>61</v>
      </c>
      <c r="D208" s="569"/>
      <c r="E208" s="570"/>
      <c r="F208" s="547" t="s">
        <v>47</v>
      </c>
      <c r="G208" s="548"/>
      <c r="H208" s="549"/>
      <c r="I208" s="547" t="s">
        <v>49</v>
      </c>
      <c r="J208" s="569"/>
      <c r="K208" s="570"/>
      <c r="L208" s="547" t="s">
        <v>50</v>
      </c>
      <c r="M208" s="569"/>
      <c r="N208" s="570"/>
      <c r="O208" s="4"/>
      <c r="P208" s="4"/>
      <c r="Q208" s="544" t="s">
        <v>61</v>
      </c>
      <c r="R208" s="545"/>
      <c r="S208" s="545"/>
      <c r="T208" s="547" t="s">
        <v>68</v>
      </c>
      <c r="U208" s="548"/>
      <c r="V208" s="549"/>
      <c r="W208" s="548" t="s">
        <v>49</v>
      </c>
      <c r="X208" s="548"/>
      <c r="Y208" s="549"/>
      <c r="Z208" s="548" t="s">
        <v>50</v>
      </c>
      <c r="AA208" s="548"/>
      <c r="AB208" s="549"/>
      <c r="AC208" s="97"/>
      <c r="AD208" s="97"/>
      <c r="AE208" s="97"/>
      <c r="AF208" s="48"/>
      <c r="AG208" s="48"/>
      <c r="AH208" s="48"/>
      <c r="AI208" s="48"/>
      <c r="AJ208" s="48"/>
      <c r="AK208" s="48"/>
      <c r="AL208" s="48"/>
      <c r="AM208" s="48"/>
      <c r="AN208" s="48"/>
      <c r="AO208" s="9"/>
      <c r="AP208" s="9"/>
      <c r="AQ208" s="97"/>
      <c r="AR208" s="97"/>
      <c r="AS208" s="97"/>
      <c r="AT208" s="48"/>
      <c r="AU208" s="48"/>
      <c r="AV208" s="48"/>
      <c r="AW208" s="48"/>
      <c r="AX208" s="48"/>
      <c r="AY208" s="48"/>
      <c r="AZ208" s="48"/>
      <c r="BA208" s="48"/>
      <c r="BB208" s="48"/>
    </row>
    <row r="209" spans="1:54" ht="9.75" customHeight="1" x14ac:dyDescent="0.2">
      <c r="A209" s="4"/>
      <c r="B209" s="4"/>
      <c r="C209" s="571"/>
      <c r="D209" s="572"/>
      <c r="E209" s="573"/>
      <c r="F209" s="550" t="s">
        <v>48</v>
      </c>
      <c r="G209" s="488"/>
      <c r="H209" s="551"/>
      <c r="I209" s="550" t="s">
        <v>182</v>
      </c>
      <c r="J209" s="572"/>
      <c r="K209" s="573"/>
      <c r="L209" s="550" t="s">
        <v>51</v>
      </c>
      <c r="M209" s="572"/>
      <c r="N209" s="573"/>
      <c r="O209" s="4"/>
      <c r="P209" s="4"/>
      <c r="Q209" s="546"/>
      <c r="R209" s="526"/>
      <c r="S209" s="526"/>
      <c r="T209" s="550" t="s">
        <v>48</v>
      </c>
      <c r="U209" s="488"/>
      <c r="V209" s="551"/>
      <c r="W209" s="488" t="s">
        <v>182</v>
      </c>
      <c r="X209" s="488"/>
      <c r="Y209" s="551"/>
      <c r="Z209" s="528" t="s">
        <v>51</v>
      </c>
      <c r="AA209" s="528"/>
      <c r="AB209" s="574"/>
      <c r="AC209" s="97"/>
      <c r="AD209" s="97"/>
      <c r="AE209" s="97"/>
      <c r="AF209" s="48"/>
      <c r="AG209" s="48"/>
      <c r="AH209" s="48"/>
      <c r="AI209" s="48"/>
      <c r="AJ209" s="48"/>
      <c r="AK209" s="48"/>
      <c r="AL209" s="48"/>
      <c r="AM209" s="48"/>
      <c r="AN209" s="48"/>
      <c r="AO209" s="9"/>
      <c r="AP209" s="9"/>
      <c r="AQ209" s="97"/>
      <c r="AR209" s="97"/>
      <c r="AS209" s="97"/>
      <c r="AT209" s="48"/>
      <c r="AU209" s="48"/>
      <c r="AV209" s="48"/>
      <c r="AW209" s="48"/>
      <c r="AX209" s="48"/>
      <c r="AY209" s="48"/>
      <c r="AZ209" s="48"/>
      <c r="BA209" s="48"/>
      <c r="BB209" s="48"/>
    </row>
    <row r="210" spans="1:54" ht="9.75" customHeight="1" x14ac:dyDescent="0.2">
      <c r="A210" s="4"/>
      <c r="B210" s="4"/>
      <c r="C210" s="559" t="s">
        <v>179</v>
      </c>
      <c r="D210" s="569"/>
      <c r="E210" s="569"/>
      <c r="F210" s="552">
        <f>O167</f>
        <v>13.992977830459198</v>
      </c>
      <c r="G210" s="553"/>
      <c r="H210" s="554"/>
      <c r="I210" s="552"/>
      <c r="J210" s="569"/>
      <c r="K210" s="570"/>
      <c r="L210" s="553">
        <f>U167</f>
        <v>17.062868019711903</v>
      </c>
      <c r="M210" s="569"/>
      <c r="N210" s="570"/>
      <c r="O210" s="4"/>
      <c r="P210" s="4"/>
      <c r="Q210" s="559" t="s">
        <v>30</v>
      </c>
      <c r="R210" s="560"/>
      <c r="S210" s="560"/>
      <c r="T210" s="552">
        <f>E96</f>
        <v>0.12232394366197184</v>
      </c>
      <c r="U210" s="553"/>
      <c r="V210" s="553"/>
      <c r="W210" s="552">
        <f>L96</f>
        <v>5.8</v>
      </c>
      <c r="X210" s="548"/>
      <c r="Y210" s="548"/>
      <c r="Z210" s="552">
        <f>T210*W210</f>
        <v>0.7094788732394367</v>
      </c>
      <c r="AA210" s="553"/>
      <c r="AB210" s="554"/>
      <c r="AC210" s="67"/>
      <c r="AD210" s="67"/>
      <c r="AE210" s="67"/>
      <c r="AF210" s="12"/>
      <c r="AG210" s="12"/>
      <c r="AH210" s="12"/>
      <c r="AI210" s="12"/>
      <c r="AJ210" s="12"/>
      <c r="AK210" s="12"/>
      <c r="AL210" s="12"/>
      <c r="AM210" s="12"/>
      <c r="AN210" s="12"/>
      <c r="AO210" s="9"/>
      <c r="AP210" s="9"/>
      <c r="AQ210" s="67"/>
      <c r="AR210" s="67"/>
      <c r="AS210" s="67"/>
      <c r="AT210" s="12"/>
      <c r="AU210" s="12"/>
      <c r="AV210" s="12"/>
      <c r="AW210" s="12"/>
      <c r="AX210" s="48"/>
      <c r="AY210" s="48"/>
      <c r="AZ210" s="12"/>
      <c r="BA210" s="12"/>
      <c r="BB210" s="12"/>
    </row>
    <row r="211" spans="1:54" ht="9.75" customHeight="1" x14ac:dyDescent="0.2">
      <c r="A211" s="4"/>
      <c r="B211" s="4"/>
      <c r="C211" s="555" t="s">
        <v>40</v>
      </c>
      <c r="D211" s="575"/>
      <c r="E211" s="575"/>
      <c r="F211" s="517">
        <f>O177</f>
        <v>3.06</v>
      </c>
      <c r="G211" s="516"/>
      <c r="H211" s="558"/>
      <c r="I211" s="517"/>
      <c r="J211" s="575"/>
      <c r="K211" s="576"/>
      <c r="L211" s="516">
        <f>U177</f>
        <v>6.2729999999999997</v>
      </c>
      <c r="M211" s="575"/>
      <c r="N211" s="576"/>
      <c r="O211" s="4"/>
      <c r="P211" s="4"/>
      <c r="Q211" s="555" t="s">
        <v>93</v>
      </c>
      <c r="R211" s="556"/>
      <c r="S211" s="556"/>
      <c r="T211" s="517">
        <f>E102</f>
        <v>0.64457746478873246</v>
      </c>
      <c r="U211" s="516"/>
      <c r="V211" s="516"/>
      <c r="W211" s="517">
        <f>L102</f>
        <v>2.9</v>
      </c>
      <c r="X211" s="528"/>
      <c r="Y211" s="528"/>
      <c r="Z211" s="517">
        <f>T211*W211</f>
        <v>1.8692746478873241</v>
      </c>
      <c r="AA211" s="516"/>
      <c r="AB211" s="558"/>
      <c r="AC211" s="67"/>
      <c r="AD211" s="67"/>
      <c r="AE211" s="67"/>
      <c r="AF211" s="12"/>
      <c r="AG211" s="12"/>
      <c r="AH211" s="12"/>
      <c r="AI211" s="12"/>
      <c r="AJ211" s="12"/>
      <c r="AK211" s="12"/>
      <c r="AL211" s="12"/>
      <c r="AM211" s="12"/>
      <c r="AN211" s="12"/>
      <c r="AO211" s="9"/>
      <c r="AP211" s="9"/>
      <c r="AQ211" s="67"/>
      <c r="AR211" s="67"/>
      <c r="AS211" s="67"/>
      <c r="AT211" s="12"/>
      <c r="AU211" s="12"/>
      <c r="AV211" s="12"/>
      <c r="AW211" s="12"/>
      <c r="AX211" s="48"/>
      <c r="AY211" s="48"/>
      <c r="AZ211" s="12"/>
      <c r="BA211" s="12"/>
      <c r="BB211" s="12"/>
    </row>
    <row r="212" spans="1:54" ht="9.75" customHeight="1" x14ac:dyDescent="0.2">
      <c r="A212" s="4"/>
      <c r="B212" s="4"/>
      <c r="C212" s="555" t="s">
        <v>179</v>
      </c>
      <c r="D212" s="575"/>
      <c r="E212" s="576"/>
      <c r="F212" s="517">
        <f>E87</f>
        <v>6.0852112676056338</v>
      </c>
      <c r="G212" s="516"/>
      <c r="H212" s="558"/>
      <c r="I212" s="517">
        <f>L87</f>
        <v>1.425</v>
      </c>
      <c r="J212" s="575"/>
      <c r="K212" s="576"/>
      <c r="L212" s="517">
        <f>F212*I212</f>
        <v>8.6714260563380279</v>
      </c>
      <c r="M212" s="575"/>
      <c r="N212" s="576"/>
      <c r="O212" s="4"/>
      <c r="P212" s="4"/>
      <c r="Q212" s="577" t="s">
        <v>163</v>
      </c>
      <c r="R212" s="528"/>
      <c r="S212" s="528"/>
      <c r="T212" s="517">
        <f>O152</f>
        <v>1.6889945177957737</v>
      </c>
      <c r="U212" s="516"/>
      <c r="V212" s="516"/>
      <c r="W212" s="517">
        <f>X152</f>
        <v>2</v>
      </c>
      <c r="X212" s="528"/>
      <c r="Y212" s="528"/>
      <c r="Z212" s="517">
        <f>T212*W212</f>
        <v>3.3779890355915474</v>
      </c>
      <c r="AA212" s="516"/>
      <c r="AB212" s="558"/>
      <c r="AC212" s="67"/>
      <c r="AD212" s="67"/>
      <c r="AE212" s="67"/>
      <c r="AF212" s="12"/>
      <c r="AG212" s="12"/>
      <c r="AH212" s="12"/>
      <c r="AI212" s="12"/>
      <c r="AJ212" s="12"/>
      <c r="AK212" s="12"/>
      <c r="AL212" s="12"/>
      <c r="AM212" s="12"/>
      <c r="AN212" s="12"/>
      <c r="AO212" s="9"/>
      <c r="AP212" s="9"/>
      <c r="AQ212" s="48"/>
      <c r="AR212" s="48"/>
      <c r="AS212" s="48"/>
      <c r="AT212" s="12"/>
      <c r="AU212" s="12"/>
      <c r="AV212" s="12"/>
      <c r="AW212" s="12"/>
      <c r="AX212" s="48"/>
      <c r="AY212" s="48"/>
      <c r="AZ212" s="12"/>
      <c r="BA212" s="12"/>
      <c r="BB212" s="12"/>
    </row>
    <row r="213" spans="1:54" ht="9.75" customHeight="1" x14ac:dyDescent="0.2">
      <c r="A213" s="4"/>
      <c r="B213" s="4"/>
      <c r="C213" s="555" t="s">
        <v>180</v>
      </c>
      <c r="D213" s="575"/>
      <c r="E213" s="576"/>
      <c r="F213" s="517">
        <f>E90</f>
        <v>0.36056338028169016</v>
      </c>
      <c r="G213" s="516"/>
      <c r="H213" s="558"/>
      <c r="I213" s="517">
        <f>L90</f>
        <v>1.425</v>
      </c>
      <c r="J213" s="575"/>
      <c r="K213" s="576"/>
      <c r="L213" s="517">
        <f>F213*I213</f>
        <v>0.5138028169014085</v>
      </c>
      <c r="M213" s="575"/>
      <c r="N213" s="576"/>
      <c r="O213" s="4"/>
      <c r="P213" s="4"/>
      <c r="Q213" s="578" t="s">
        <v>197</v>
      </c>
      <c r="R213" s="579"/>
      <c r="S213" s="579"/>
      <c r="T213" s="580">
        <f>E120</f>
        <v>4.4447224152520359</v>
      </c>
      <c r="U213" s="511"/>
      <c r="V213" s="511"/>
      <c r="W213" s="580">
        <f>S120</f>
        <v>1.3333333333333333</v>
      </c>
      <c r="X213" s="579"/>
      <c r="Y213" s="579"/>
      <c r="Z213" s="580">
        <f>T213*W213</f>
        <v>5.9262965536693812</v>
      </c>
      <c r="AA213" s="511"/>
      <c r="AB213" s="581"/>
      <c r="AC213" s="67"/>
      <c r="AD213" s="67"/>
      <c r="AE213" s="67"/>
      <c r="AF213" s="12"/>
      <c r="AG213" s="12"/>
      <c r="AH213" s="12"/>
      <c r="AI213" s="12"/>
      <c r="AJ213" s="12"/>
      <c r="AK213" s="12"/>
      <c r="AL213" s="12"/>
      <c r="AM213" s="12"/>
      <c r="AN213" s="12"/>
      <c r="AO213" s="9"/>
      <c r="AP213" s="9"/>
      <c r="AQ213" s="68"/>
      <c r="AR213" s="68"/>
      <c r="AS213" s="68"/>
      <c r="AT213" s="98"/>
      <c r="AU213" s="98"/>
      <c r="AV213" s="98"/>
      <c r="AW213" s="12"/>
      <c r="AX213" s="48"/>
      <c r="AY213" s="48"/>
      <c r="AZ213" s="12"/>
      <c r="BA213" s="12"/>
      <c r="BB213" s="12"/>
    </row>
    <row r="214" spans="1:54" ht="9.75" customHeight="1" x14ac:dyDescent="0.2">
      <c r="A214" s="4"/>
      <c r="B214" s="4"/>
      <c r="C214" s="555" t="s">
        <v>28</v>
      </c>
      <c r="D214" s="575"/>
      <c r="E214" s="576"/>
      <c r="F214" s="517">
        <f>E93</f>
        <v>2.4464788732394367</v>
      </c>
      <c r="G214" s="516"/>
      <c r="H214" s="558"/>
      <c r="I214" s="517">
        <f>L93</f>
        <v>1.425</v>
      </c>
      <c r="J214" s="575"/>
      <c r="K214" s="576"/>
      <c r="L214" s="517">
        <f>F214*I214</f>
        <v>3.4862323943661973</v>
      </c>
      <c r="M214" s="575"/>
      <c r="N214" s="576"/>
      <c r="O214" s="4"/>
      <c r="P214" s="4"/>
      <c r="Q214" s="578" t="s">
        <v>198</v>
      </c>
      <c r="R214" s="579"/>
      <c r="S214" s="579"/>
      <c r="T214" s="580">
        <f>E147</f>
        <v>1.3798182880525642</v>
      </c>
      <c r="U214" s="511"/>
      <c r="V214" s="511"/>
      <c r="W214" s="580">
        <f>S147</f>
        <v>2.4</v>
      </c>
      <c r="X214" s="511"/>
      <c r="Y214" s="511"/>
      <c r="Z214" s="580">
        <f>T214*W214</f>
        <v>3.3115638913261543</v>
      </c>
      <c r="AA214" s="511"/>
      <c r="AB214" s="581"/>
      <c r="AC214" s="67"/>
      <c r="AD214" s="67"/>
      <c r="AE214" s="67"/>
      <c r="AF214" s="12"/>
      <c r="AG214" s="12"/>
      <c r="AH214" s="12"/>
      <c r="AI214" s="12"/>
      <c r="AJ214" s="12"/>
      <c r="AK214" s="12"/>
      <c r="AL214" s="12"/>
      <c r="AM214" s="12"/>
      <c r="AN214" s="12"/>
      <c r="AO214" s="9"/>
      <c r="AP214" s="9"/>
      <c r="AQ214" s="68"/>
      <c r="AR214" s="68"/>
      <c r="AS214" s="68"/>
      <c r="AT214" s="98"/>
      <c r="AU214" s="98"/>
      <c r="AV214" s="98"/>
      <c r="AW214" s="98"/>
      <c r="AX214" s="98"/>
      <c r="AY214" s="98"/>
      <c r="AZ214" s="12"/>
      <c r="BA214" s="12"/>
      <c r="BB214" s="12"/>
    </row>
    <row r="215" spans="1:54" ht="9.75" customHeight="1" x14ac:dyDescent="0.2">
      <c r="A215" s="4"/>
      <c r="B215" s="4"/>
      <c r="C215" s="577" t="s">
        <v>164</v>
      </c>
      <c r="D215" s="528"/>
      <c r="E215" s="574"/>
      <c r="F215" s="517">
        <f>Q154</f>
        <v>0.68400000000000005</v>
      </c>
      <c r="G215" s="516"/>
      <c r="H215" s="558"/>
      <c r="I215" s="517">
        <f>X154</f>
        <v>2.25</v>
      </c>
      <c r="J215" s="575"/>
      <c r="K215" s="576"/>
      <c r="L215" s="517">
        <f>F215*I215</f>
        <v>1.5390000000000001</v>
      </c>
      <c r="M215" s="575"/>
      <c r="N215" s="576"/>
      <c r="O215" s="4"/>
      <c r="P215" s="4"/>
      <c r="Q215" s="555"/>
      <c r="R215" s="556"/>
      <c r="S215" s="556"/>
      <c r="T215" s="517"/>
      <c r="U215" s="516"/>
      <c r="V215" s="516"/>
      <c r="W215" s="517"/>
      <c r="X215" s="516"/>
      <c r="Y215" s="516"/>
      <c r="Z215" s="517"/>
      <c r="AA215" s="516"/>
      <c r="AB215" s="558"/>
      <c r="AC215" s="67"/>
      <c r="AD215" s="67"/>
      <c r="AE215" s="67"/>
      <c r="AF215" s="12"/>
      <c r="AG215" s="12"/>
      <c r="AH215" s="12"/>
      <c r="AI215" s="12"/>
      <c r="AJ215" s="12"/>
      <c r="AK215" s="12"/>
      <c r="AL215" s="12"/>
      <c r="AM215" s="12"/>
      <c r="AN215" s="12"/>
      <c r="AO215" s="9"/>
      <c r="AP215" s="9"/>
      <c r="AQ215" s="67"/>
      <c r="AR215" s="67"/>
      <c r="AS215" s="67"/>
      <c r="AT215" s="12"/>
      <c r="AU215" s="12"/>
      <c r="AV215" s="12"/>
      <c r="AW215" s="12"/>
      <c r="AX215" s="12"/>
      <c r="AY215" s="12"/>
      <c r="AZ215" s="12"/>
      <c r="BA215" s="12"/>
      <c r="BB215" s="12"/>
    </row>
    <row r="216" spans="1:54" ht="9.75" customHeight="1" x14ac:dyDescent="0.2">
      <c r="A216" s="4"/>
      <c r="B216" s="4"/>
      <c r="C216" s="565" t="s">
        <v>109</v>
      </c>
      <c r="D216" s="572"/>
      <c r="E216" s="573"/>
      <c r="F216" s="562">
        <f>E99</f>
        <v>1.3380281690140845</v>
      </c>
      <c r="G216" s="563"/>
      <c r="H216" s="564"/>
      <c r="I216" s="562">
        <f>L99</f>
        <v>1.425</v>
      </c>
      <c r="J216" s="572"/>
      <c r="K216" s="573"/>
      <c r="L216" s="562">
        <f>F216*I216</f>
        <v>1.9066901408450705</v>
      </c>
      <c r="M216" s="572"/>
      <c r="N216" s="573"/>
      <c r="O216" s="4"/>
      <c r="P216" s="4"/>
      <c r="Q216" s="565"/>
      <c r="R216" s="566"/>
      <c r="S216" s="566"/>
      <c r="T216" s="562"/>
      <c r="U216" s="563"/>
      <c r="V216" s="563"/>
      <c r="W216" s="562"/>
      <c r="X216" s="563"/>
      <c r="Y216" s="563"/>
      <c r="Z216" s="562"/>
      <c r="AA216" s="563"/>
      <c r="AB216" s="564"/>
      <c r="AC216" s="67"/>
      <c r="AD216" s="67"/>
      <c r="AE216" s="67"/>
      <c r="AF216" s="12"/>
      <c r="AG216" s="12"/>
      <c r="AH216" s="12"/>
      <c r="AI216" s="12"/>
      <c r="AJ216" s="12"/>
      <c r="AK216" s="12"/>
      <c r="AL216" s="12"/>
      <c r="AM216" s="12"/>
      <c r="AN216" s="12"/>
      <c r="AO216" s="9"/>
      <c r="AP216" s="9"/>
      <c r="AQ216" s="67"/>
      <c r="AR216" s="67"/>
      <c r="AS216" s="67"/>
      <c r="AT216" s="12"/>
      <c r="AU216" s="12"/>
      <c r="AV216" s="12"/>
      <c r="AW216" s="12"/>
      <c r="AX216" s="12"/>
      <c r="AY216" s="12"/>
      <c r="AZ216" s="12"/>
      <c r="BA216" s="12"/>
      <c r="BB216" s="12"/>
    </row>
    <row r="217" spans="1:54" ht="9.75" hidden="1" customHeight="1" x14ac:dyDescent="0.2">
      <c r="A217" s="4"/>
      <c r="B217" s="4"/>
      <c r="C217" s="555"/>
      <c r="D217" s="556"/>
      <c r="E217" s="557"/>
      <c r="F217" s="552"/>
      <c r="G217" s="553"/>
      <c r="H217" s="554"/>
      <c r="I217" s="517"/>
      <c r="J217" s="516"/>
      <c r="K217" s="558"/>
      <c r="L217" s="517"/>
      <c r="M217" s="516"/>
      <c r="N217" s="558"/>
      <c r="O217" s="4"/>
      <c r="P217" s="4"/>
      <c r="Q217" s="555"/>
      <c r="R217" s="556"/>
      <c r="S217" s="557"/>
      <c r="T217" s="517"/>
      <c r="U217" s="516"/>
      <c r="V217" s="558"/>
      <c r="W217" s="517"/>
      <c r="X217" s="516"/>
      <c r="Y217" s="558"/>
      <c r="Z217" s="517"/>
      <c r="AA217" s="516"/>
      <c r="AB217" s="558"/>
      <c r="AC217" s="67"/>
      <c r="AD217" s="67"/>
      <c r="AE217" s="67"/>
      <c r="AF217" s="12"/>
      <c r="AG217" s="12"/>
      <c r="AH217" s="12"/>
      <c r="AI217" s="12"/>
      <c r="AJ217" s="12"/>
      <c r="AK217" s="12"/>
      <c r="AL217" s="12"/>
      <c r="AM217" s="12"/>
      <c r="AN217" s="12"/>
      <c r="AO217" s="9"/>
      <c r="AP217" s="9"/>
      <c r="AQ217" s="67"/>
      <c r="AR217" s="67"/>
      <c r="AS217" s="67"/>
      <c r="AT217" s="12"/>
      <c r="AU217" s="12"/>
      <c r="AV217" s="12"/>
      <c r="AW217" s="12"/>
      <c r="AX217" s="12"/>
      <c r="AY217" s="12"/>
      <c r="AZ217" s="12"/>
      <c r="BA217" s="12"/>
      <c r="BB217" s="12"/>
    </row>
    <row r="218" spans="1:54" ht="9.75" hidden="1" customHeight="1" x14ac:dyDescent="0.2">
      <c r="A218" s="4"/>
      <c r="B218" s="4"/>
      <c r="C218" s="555"/>
      <c r="D218" s="556"/>
      <c r="E218" s="557"/>
      <c r="F218" s="517"/>
      <c r="G218" s="516"/>
      <c r="H218" s="558"/>
      <c r="I218" s="517"/>
      <c r="J218" s="516"/>
      <c r="K218" s="558"/>
      <c r="L218" s="517"/>
      <c r="M218" s="516"/>
      <c r="N218" s="558"/>
      <c r="O218" s="4"/>
      <c r="P218" s="4"/>
      <c r="Q218" s="555"/>
      <c r="R218" s="556"/>
      <c r="S218" s="557"/>
      <c r="T218" s="517"/>
      <c r="U218" s="516"/>
      <c r="V218" s="558"/>
      <c r="W218" s="517"/>
      <c r="X218" s="516"/>
      <c r="Y218" s="558"/>
      <c r="Z218" s="517"/>
      <c r="AA218" s="516"/>
      <c r="AB218" s="558"/>
      <c r="AC218" s="67"/>
      <c r="AD218" s="67"/>
      <c r="AE218" s="67"/>
      <c r="AF218" s="12"/>
      <c r="AG218" s="12"/>
      <c r="AH218" s="12"/>
      <c r="AI218" s="12"/>
      <c r="AJ218" s="12"/>
      <c r="AK218" s="12"/>
      <c r="AL218" s="12"/>
      <c r="AM218" s="12"/>
      <c r="AN218" s="12"/>
      <c r="AO218" s="9"/>
      <c r="AP218" s="9"/>
      <c r="AQ218" s="67"/>
      <c r="AR218" s="67"/>
      <c r="AS218" s="67"/>
      <c r="AT218" s="12"/>
      <c r="AU218" s="12"/>
      <c r="AV218" s="12"/>
      <c r="AW218" s="12"/>
      <c r="AX218" s="12"/>
      <c r="AY218" s="12"/>
      <c r="AZ218" s="12"/>
      <c r="BA218" s="12"/>
      <c r="BB218" s="12"/>
    </row>
    <row r="219" spans="1:54" ht="9.75" hidden="1" customHeight="1" x14ac:dyDescent="0.2">
      <c r="A219" s="4"/>
      <c r="B219" s="4"/>
      <c r="C219" s="555"/>
      <c r="D219" s="556"/>
      <c r="E219" s="557"/>
      <c r="F219" s="517"/>
      <c r="G219" s="516"/>
      <c r="H219" s="558"/>
      <c r="I219" s="517"/>
      <c r="J219" s="516"/>
      <c r="K219" s="558"/>
      <c r="L219" s="517"/>
      <c r="M219" s="516"/>
      <c r="N219" s="558"/>
      <c r="O219" s="4"/>
      <c r="P219" s="4"/>
      <c r="Q219" s="555"/>
      <c r="R219" s="556"/>
      <c r="S219" s="557"/>
      <c r="T219" s="517"/>
      <c r="U219" s="516"/>
      <c r="V219" s="558"/>
      <c r="W219" s="517"/>
      <c r="X219" s="516"/>
      <c r="Y219" s="558"/>
      <c r="Z219" s="517"/>
      <c r="AA219" s="516"/>
      <c r="AB219" s="558"/>
      <c r="AC219" s="67"/>
      <c r="AD219" s="67"/>
      <c r="AE219" s="67"/>
      <c r="AF219" s="12"/>
      <c r="AG219" s="12"/>
      <c r="AH219" s="12"/>
      <c r="AI219" s="12"/>
      <c r="AJ219" s="12"/>
      <c r="AK219" s="12"/>
      <c r="AL219" s="12"/>
      <c r="AM219" s="12"/>
      <c r="AN219" s="12"/>
      <c r="AO219" s="9"/>
      <c r="AP219" s="9"/>
      <c r="AQ219" s="67"/>
      <c r="AR219" s="67"/>
      <c r="AS219" s="67"/>
      <c r="AT219" s="12"/>
      <c r="AU219" s="12"/>
      <c r="AV219" s="12"/>
      <c r="AW219" s="12"/>
      <c r="AX219" s="12"/>
      <c r="AY219" s="12"/>
      <c r="AZ219" s="12"/>
      <c r="BA219" s="12"/>
      <c r="BB219" s="12"/>
    </row>
    <row r="220" spans="1:54" ht="9.75" hidden="1" customHeight="1" x14ac:dyDescent="0.2">
      <c r="A220" s="4"/>
      <c r="B220" s="4"/>
      <c r="C220" s="555"/>
      <c r="D220" s="556"/>
      <c r="E220" s="557"/>
      <c r="F220" s="517"/>
      <c r="G220" s="516"/>
      <c r="H220" s="558"/>
      <c r="I220" s="517"/>
      <c r="J220" s="516"/>
      <c r="K220" s="558"/>
      <c r="L220" s="517"/>
      <c r="M220" s="516"/>
      <c r="N220" s="558"/>
      <c r="O220" s="4"/>
      <c r="P220" s="4"/>
      <c r="Q220" s="555"/>
      <c r="R220" s="556"/>
      <c r="S220" s="557"/>
      <c r="T220" s="517"/>
      <c r="U220" s="516"/>
      <c r="V220" s="558"/>
      <c r="W220" s="517"/>
      <c r="X220" s="516"/>
      <c r="Y220" s="558"/>
      <c r="Z220" s="517"/>
      <c r="AA220" s="516"/>
      <c r="AB220" s="558"/>
      <c r="AC220" s="67"/>
      <c r="AD220" s="67"/>
      <c r="AE220" s="67"/>
      <c r="AF220" s="12"/>
      <c r="AG220" s="12"/>
      <c r="AH220" s="12"/>
      <c r="AI220" s="12"/>
      <c r="AJ220" s="48"/>
      <c r="AK220" s="48"/>
      <c r="AL220" s="12"/>
      <c r="AM220" s="12"/>
      <c r="AN220" s="12"/>
      <c r="AO220" s="9"/>
      <c r="AP220" s="9"/>
      <c r="AQ220" s="67"/>
      <c r="AR220" s="67"/>
      <c r="AS220" s="67"/>
      <c r="AT220" s="12"/>
      <c r="AU220" s="12"/>
      <c r="AV220" s="12"/>
      <c r="AW220" s="12"/>
      <c r="AX220" s="12"/>
      <c r="AY220" s="12"/>
      <c r="AZ220" s="12"/>
      <c r="BA220" s="12"/>
      <c r="BB220" s="12"/>
    </row>
    <row r="221" spans="1:54" ht="9.75" hidden="1" customHeight="1" x14ac:dyDescent="0.2">
      <c r="A221" s="4"/>
      <c r="B221" s="4"/>
      <c r="C221" s="555"/>
      <c r="D221" s="556"/>
      <c r="E221" s="557"/>
      <c r="F221" s="517"/>
      <c r="G221" s="516"/>
      <c r="H221" s="558"/>
      <c r="I221" s="517"/>
      <c r="J221" s="516"/>
      <c r="K221" s="558"/>
      <c r="L221" s="517"/>
      <c r="M221" s="516"/>
      <c r="N221" s="558"/>
      <c r="O221" s="4"/>
      <c r="P221" s="4"/>
      <c r="Q221" s="555"/>
      <c r="R221" s="556"/>
      <c r="S221" s="557"/>
      <c r="T221" s="517"/>
      <c r="U221" s="516"/>
      <c r="V221" s="558"/>
      <c r="W221" s="517"/>
      <c r="X221" s="516"/>
      <c r="Y221" s="558"/>
      <c r="Z221" s="517"/>
      <c r="AA221" s="516"/>
      <c r="AB221" s="558"/>
      <c r="AC221" s="67"/>
      <c r="AD221" s="67"/>
      <c r="AE221" s="67"/>
      <c r="AF221" s="12"/>
      <c r="AG221" s="12"/>
      <c r="AH221" s="12"/>
      <c r="AI221" s="12"/>
      <c r="AJ221" s="48"/>
      <c r="AK221" s="48"/>
      <c r="AL221" s="12"/>
      <c r="AM221" s="12"/>
      <c r="AN221" s="12"/>
      <c r="AO221" s="9"/>
      <c r="AP221" s="9"/>
      <c r="AQ221" s="67"/>
      <c r="AR221" s="67"/>
      <c r="AS221" s="67"/>
      <c r="AT221" s="12"/>
      <c r="AU221" s="12"/>
      <c r="AV221" s="12"/>
      <c r="AW221" s="12"/>
      <c r="AX221" s="12"/>
      <c r="AY221" s="12"/>
      <c r="AZ221" s="12"/>
      <c r="BA221" s="12"/>
      <c r="BB221" s="12"/>
    </row>
    <row r="222" spans="1:54" ht="9.75" hidden="1" customHeight="1" x14ac:dyDescent="0.2">
      <c r="A222" s="4"/>
      <c r="B222" s="4"/>
      <c r="C222" s="555"/>
      <c r="D222" s="556"/>
      <c r="E222" s="557"/>
      <c r="F222" s="517"/>
      <c r="G222" s="516"/>
      <c r="H222" s="558"/>
      <c r="I222" s="517"/>
      <c r="J222" s="516"/>
      <c r="K222" s="558"/>
      <c r="L222" s="517"/>
      <c r="M222" s="516"/>
      <c r="N222" s="558"/>
      <c r="O222" s="4"/>
      <c r="P222" s="4"/>
      <c r="Q222" s="555"/>
      <c r="R222" s="556"/>
      <c r="S222" s="557"/>
      <c r="T222" s="517"/>
      <c r="U222" s="516"/>
      <c r="V222" s="558"/>
      <c r="W222" s="517"/>
      <c r="X222" s="516"/>
      <c r="Y222" s="558"/>
      <c r="Z222" s="517"/>
      <c r="AA222" s="516"/>
      <c r="AB222" s="558"/>
      <c r="AC222" s="67"/>
      <c r="AD222" s="67"/>
      <c r="AE222" s="67"/>
      <c r="AF222" s="12"/>
      <c r="AG222" s="12"/>
      <c r="AH222" s="12"/>
      <c r="AI222" s="12"/>
      <c r="AJ222" s="48"/>
      <c r="AK222" s="48"/>
      <c r="AL222" s="12"/>
      <c r="AM222" s="12"/>
      <c r="AN222" s="12"/>
      <c r="AO222" s="9"/>
      <c r="AP222" s="9"/>
      <c r="AQ222" s="67"/>
      <c r="AR222" s="67"/>
      <c r="AS222" s="67"/>
      <c r="AT222" s="12"/>
      <c r="AU222" s="12"/>
      <c r="AV222" s="12"/>
      <c r="AW222" s="12"/>
      <c r="AX222" s="12"/>
      <c r="AY222" s="12"/>
      <c r="AZ222" s="12"/>
      <c r="BA222" s="12"/>
      <c r="BB222" s="12"/>
    </row>
    <row r="223" spans="1:54" ht="9.75" hidden="1" customHeight="1" x14ac:dyDescent="0.2">
      <c r="A223" s="4"/>
      <c r="B223" s="4"/>
      <c r="C223" s="550"/>
      <c r="D223" s="572"/>
      <c r="E223" s="573"/>
      <c r="F223" s="562"/>
      <c r="G223" s="563"/>
      <c r="H223" s="564"/>
      <c r="I223" s="562"/>
      <c r="J223" s="572"/>
      <c r="K223" s="573"/>
      <c r="L223" s="562"/>
      <c r="M223" s="572"/>
      <c r="N223" s="573"/>
      <c r="O223" s="4"/>
      <c r="P223" s="4"/>
      <c r="Q223" s="550"/>
      <c r="R223" s="488"/>
      <c r="S223" s="488"/>
      <c r="T223" s="562"/>
      <c r="U223" s="563"/>
      <c r="V223" s="563"/>
      <c r="W223" s="562"/>
      <c r="X223" s="563"/>
      <c r="Y223" s="563"/>
      <c r="Z223" s="562"/>
      <c r="AA223" s="563"/>
      <c r="AB223" s="564"/>
      <c r="AC223" s="48"/>
      <c r="AD223" s="48"/>
      <c r="AE223" s="48"/>
      <c r="AF223" s="12"/>
      <c r="AG223" s="12"/>
      <c r="AH223" s="12"/>
      <c r="AI223" s="12"/>
      <c r="AJ223" s="48"/>
      <c r="AK223" s="48"/>
      <c r="AL223" s="12"/>
      <c r="AM223" s="12"/>
      <c r="AN223" s="12"/>
      <c r="AO223" s="9"/>
      <c r="AP223" s="9"/>
      <c r="AQ223" s="48"/>
      <c r="AR223" s="48"/>
      <c r="AS223" s="48"/>
      <c r="AT223" s="12"/>
      <c r="AU223" s="12"/>
      <c r="AV223" s="12"/>
      <c r="AW223" s="12"/>
      <c r="AX223" s="12"/>
      <c r="AY223" s="12"/>
      <c r="AZ223" s="12"/>
      <c r="BA223" s="12"/>
      <c r="BB223" s="12"/>
    </row>
    <row r="224" spans="1:54" ht="9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1:54" ht="9.75" customHeight="1" x14ac:dyDescent="0.2">
      <c r="A225" s="157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157"/>
      <c r="U225" s="157"/>
      <c r="V225" s="157"/>
      <c r="W225" s="157"/>
      <c r="X225" s="157"/>
      <c r="Y225" s="157"/>
      <c r="Z225" s="157"/>
      <c r="AA225" s="157"/>
      <c r="AB225" s="157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1:54" ht="9.75" customHeight="1" x14ac:dyDescent="0.2">
      <c r="A226" s="4"/>
      <c r="B226" s="4"/>
      <c r="C226" s="59" t="s">
        <v>67</v>
      </c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1:54" ht="9.75" customHeight="1" x14ac:dyDescent="0.2">
      <c r="A227" s="155"/>
      <c r="B227" s="155"/>
      <c r="C227" s="155" t="s">
        <v>113</v>
      </c>
      <c r="D227" s="155"/>
      <c r="E227" s="155"/>
      <c r="F227" s="155"/>
      <c r="G227" s="155"/>
      <c r="H227" s="488" t="s">
        <v>502</v>
      </c>
      <c r="I227" s="488"/>
      <c r="J227" s="155"/>
      <c r="K227" s="155"/>
      <c r="L227" s="155"/>
      <c r="M227" s="155"/>
      <c r="N227" s="155"/>
      <c r="O227" s="155"/>
      <c r="P227" s="155"/>
      <c r="Q227" s="155"/>
      <c r="R227" s="155" t="s">
        <v>501</v>
      </c>
      <c r="S227" s="155"/>
      <c r="T227" s="155"/>
      <c r="U227" s="155"/>
      <c r="V227" s="155"/>
      <c r="W227" s="155"/>
      <c r="X227" s="155"/>
      <c r="Y227" s="155"/>
      <c r="Z227" s="155"/>
      <c r="AA227" s="155"/>
      <c r="AB227" s="155"/>
      <c r="AC227" s="155"/>
      <c r="AD227" s="155"/>
      <c r="AE227" s="155"/>
      <c r="AF227" s="155"/>
      <c r="AG227" s="155"/>
      <c r="AH227" s="155"/>
      <c r="AI227" s="155"/>
      <c r="AJ227" s="155"/>
      <c r="AK227" s="155"/>
      <c r="AL227" s="155"/>
      <c r="AM227" s="155"/>
      <c r="AN227" s="155"/>
      <c r="AO227" s="155"/>
      <c r="AP227" s="155"/>
      <c r="AQ227" s="155"/>
      <c r="AR227" s="155"/>
      <c r="AS227" s="155"/>
      <c r="AT227" s="155"/>
      <c r="AU227" s="155"/>
      <c r="AV227" s="155"/>
      <c r="AW227" s="155"/>
      <c r="AX227" s="155"/>
      <c r="AY227" s="155"/>
      <c r="AZ227" s="155"/>
      <c r="BA227" s="155"/>
      <c r="BB227" s="155"/>
    </row>
    <row r="228" spans="1:54" ht="9.75" customHeight="1" x14ac:dyDescent="0.2">
      <c r="A228" s="155"/>
      <c r="B228" s="155"/>
      <c r="C228" s="474" t="s">
        <v>494</v>
      </c>
      <c r="D228" s="474"/>
      <c r="E228" s="474"/>
      <c r="F228" s="474"/>
      <c r="G228" s="474"/>
      <c r="H228" s="475" t="s">
        <v>495</v>
      </c>
      <c r="I228" s="475"/>
      <c r="J228" s="475" t="s">
        <v>496</v>
      </c>
      <c r="K228" s="475"/>
      <c r="L228" s="475" t="s">
        <v>497</v>
      </c>
      <c r="M228" s="475"/>
      <c r="N228" s="475" t="s">
        <v>498</v>
      </c>
      <c r="O228" s="475"/>
      <c r="P228" s="474" t="s">
        <v>499</v>
      </c>
      <c r="Q228" s="474"/>
      <c r="R228" s="475" t="s">
        <v>500</v>
      </c>
      <c r="S228" s="475"/>
      <c r="T228" s="475"/>
      <c r="U228" s="475"/>
      <c r="V228" s="475"/>
      <c r="W228" s="475"/>
      <c r="X228" s="475" t="s">
        <v>93</v>
      </c>
      <c r="Y228" s="475"/>
      <c r="Z228" s="475" t="s">
        <v>93</v>
      </c>
      <c r="AA228" s="475"/>
      <c r="AB228" s="155"/>
      <c r="AC228" s="155"/>
      <c r="AD228" s="155"/>
      <c r="AE228" s="155"/>
      <c r="AF228" s="155"/>
      <c r="AG228" s="155"/>
      <c r="AH228" s="155"/>
      <c r="AI228" s="155"/>
      <c r="AJ228" s="155"/>
      <c r="AK228" s="155"/>
      <c r="AL228" s="155"/>
      <c r="AM228" s="155"/>
      <c r="AN228" s="155"/>
      <c r="AO228" s="155"/>
      <c r="AP228" s="155"/>
      <c r="AQ228" s="155"/>
      <c r="AR228" s="155"/>
      <c r="AS228" s="155"/>
      <c r="AT228" s="155"/>
      <c r="AU228" s="155"/>
      <c r="AV228" s="155"/>
      <c r="AW228" s="155"/>
      <c r="AX228" s="155"/>
      <c r="AY228" s="155"/>
      <c r="AZ228" s="155"/>
      <c r="BA228" s="155"/>
      <c r="BB228" s="155"/>
    </row>
    <row r="229" spans="1:54" ht="9.75" customHeight="1" x14ac:dyDescent="0.2">
      <c r="A229" s="155"/>
      <c r="B229" s="155"/>
      <c r="C229" s="477" t="s">
        <v>53</v>
      </c>
      <c r="D229" s="477"/>
      <c r="E229" s="477"/>
      <c r="F229" s="477"/>
      <c r="G229" s="477"/>
      <c r="H229" s="478" t="s">
        <v>179</v>
      </c>
      <c r="I229" s="478"/>
      <c r="J229" s="478" t="s">
        <v>180</v>
      </c>
      <c r="K229" s="478"/>
      <c r="L229" s="478" t="s">
        <v>28</v>
      </c>
      <c r="M229" s="478"/>
      <c r="N229" s="478" t="s">
        <v>109</v>
      </c>
      <c r="O229" s="478"/>
      <c r="P229" s="478" t="s">
        <v>40</v>
      </c>
      <c r="Q229" s="478"/>
      <c r="R229" s="479" t="s">
        <v>165</v>
      </c>
      <c r="S229" s="480"/>
      <c r="T229" s="481"/>
      <c r="U229" s="481"/>
      <c r="V229" s="487" t="s">
        <v>166</v>
      </c>
      <c r="W229" s="483"/>
      <c r="X229" s="481"/>
      <c r="Y229" s="481"/>
      <c r="Z229" s="481"/>
      <c r="AA229" s="481"/>
      <c r="AB229" s="155"/>
      <c r="AC229" s="155"/>
      <c r="AD229" s="155"/>
      <c r="AE229" s="155"/>
      <c r="AF229" s="155"/>
      <c r="AG229" s="155"/>
      <c r="AH229" s="155"/>
      <c r="AI229" s="155"/>
      <c r="AJ229" s="155"/>
      <c r="AK229" s="155"/>
      <c r="AL229" s="155"/>
      <c r="AM229" s="155"/>
      <c r="AN229" s="155"/>
      <c r="AO229" s="155"/>
      <c r="AP229" s="155"/>
      <c r="AQ229" s="155"/>
      <c r="AR229" s="155"/>
      <c r="AS229" s="155"/>
      <c r="AT229" s="155"/>
      <c r="AU229" s="155"/>
      <c r="AV229" s="155"/>
      <c r="AW229" s="155"/>
      <c r="AX229" s="155"/>
      <c r="AY229" s="155"/>
      <c r="AZ229" s="155"/>
      <c r="BA229" s="155"/>
      <c r="BB229" s="155"/>
    </row>
    <row r="230" spans="1:54" ht="9.75" customHeight="1" x14ac:dyDescent="0.2">
      <c r="A230" s="155"/>
      <c r="B230" s="155"/>
      <c r="C230" s="474" t="s">
        <v>503</v>
      </c>
      <c r="D230" s="474"/>
      <c r="E230" s="474"/>
      <c r="F230" s="474"/>
      <c r="G230" s="474"/>
      <c r="H230" s="484">
        <f>F210+F212</f>
        <v>20.078189098064833</v>
      </c>
      <c r="I230" s="485"/>
      <c r="J230" s="475">
        <f>F213</f>
        <v>0.36056338028169016</v>
      </c>
      <c r="K230" s="475"/>
      <c r="L230" s="475">
        <f>F214</f>
        <v>2.4464788732394367</v>
      </c>
      <c r="M230" s="475"/>
      <c r="N230" s="475">
        <f>F216</f>
        <v>1.3380281690140845</v>
      </c>
      <c r="O230" s="475"/>
      <c r="P230" s="475">
        <f>F211</f>
        <v>3.06</v>
      </c>
      <c r="Q230" s="474"/>
      <c r="R230" s="475">
        <f>F215</f>
        <v>0.68400000000000005</v>
      </c>
      <c r="S230" s="475"/>
      <c r="T230" s="475"/>
      <c r="U230" s="475"/>
      <c r="V230" s="475"/>
      <c r="W230" s="475"/>
      <c r="X230" s="475"/>
      <c r="Y230" s="475"/>
      <c r="Z230" s="475"/>
      <c r="AA230" s="475"/>
      <c r="AB230" s="155"/>
      <c r="AC230" s="155"/>
      <c r="AD230" s="155"/>
      <c r="AE230" s="155"/>
      <c r="AF230" s="155"/>
      <c r="AG230" s="155"/>
      <c r="AH230" s="155"/>
      <c r="AI230" s="155"/>
      <c r="AJ230" s="155"/>
      <c r="AK230" s="155"/>
      <c r="AL230" s="155"/>
      <c r="AM230" s="155"/>
      <c r="AN230" s="155"/>
      <c r="AO230" s="155"/>
      <c r="AP230" s="155"/>
      <c r="AQ230" s="155"/>
      <c r="AR230" s="155"/>
      <c r="AS230" s="155"/>
      <c r="AT230" s="155"/>
      <c r="AU230" s="155"/>
      <c r="AV230" s="155"/>
      <c r="AW230" s="155"/>
      <c r="AX230" s="155"/>
      <c r="AY230" s="155"/>
      <c r="AZ230" s="155"/>
      <c r="BA230" s="155"/>
      <c r="BB230" s="155"/>
    </row>
    <row r="231" spans="1:54" ht="9.75" customHeight="1" x14ac:dyDescent="0.2">
      <c r="A231" s="155"/>
      <c r="B231" s="155"/>
      <c r="C231" s="476" t="s">
        <v>491</v>
      </c>
      <c r="D231" s="476"/>
      <c r="E231" s="476"/>
      <c r="F231" s="476"/>
      <c r="G231" s="476"/>
      <c r="H231" s="475">
        <f>($F$210+$F$212)*H195</f>
        <v>20.078189098064833</v>
      </c>
      <c r="I231" s="475"/>
      <c r="J231" s="475">
        <f>$F$213*J195</f>
        <v>0.36056338028169016</v>
      </c>
      <c r="K231" s="475"/>
      <c r="L231" s="475">
        <f>$F$214*R195</f>
        <v>2.4464788732394367</v>
      </c>
      <c r="M231" s="475"/>
      <c r="N231" s="475">
        <f>$F$216*R195</f>
        <v>1.3380281690140845</v>
      </c>
      <c r="O231" s="475"/>
      <c r="P231" s="475">
        <f>($F$211)*P195</f>
        <v>3.06</v>
      </c>
      <c r="Q231" s="475"/>
      <c r="R231" s="475">
        <f>$F$215*R195</f>
        <v>0.68400000000000005</v>
      </c>
      <c r="S231" s="475"/>
      <c r="T231" s="475"/>
      <c r="U231" s="475"/>
      <c r="V231" s="475">
        <f>SUM(H231:U231)</f>
        <v>27.967259520600042</v>
      </c>
      <c r="W231" s="475"/>
      <c r="X231" s="475"/>
      <c r="Y231" s="475"/>
      <c r="Z231" s="475"/>
      <c r="AA231" s="475"/>
      <c r="AB231" s="155"/>
      <c r="AC231" s="155"/>
      <c r="AD231" s="155"/>
      <c r="AE231" s="155"/>
      <c r="AF231" s="155"/>
      <c r="AG231" s="155"/>
      <c r="AH231" s="155"/>
      <c r="AI231" s="155"/>
      <c r="AJ231" s="155"/>
      <c r="AK231" s="155"/>
      <c r="AL231" s="155"/>
      <c r="AM231" s="155"/>
      <c r="AN231" s="155"/>
      <c r="AO231" s="155"/>
      <c r="AP231" s="155"/>
      <c r="AQ231" s="155"/>
      <c r="AR231" s="155"/>
      <c r="AS231" s="155"/>
      <c r="AT231" s="155"/>
      <c r="AU231" s="155"/>
      <c r="AV231" s="155"/>
      <c r="AW231" s="155"/>
      <c r="AX231" s="155"/>
      <c r="AY231" s="155"/>
      <c r="AZ231" s="155"/>
      <c r="BA231" s="155"/>
      <c r="BB231" s="155"/>
    </row>
    <row r="232" spans="1:54" ht="9.75" customHeight="1" x14ac:dyDescent="0.2">
      <c r="A232" s="155"/>
      <c r="B232" s="155"/>
      <c r="C232" s="474" t="s">
        <v>492</v>
      </c>
      <c r="D232" s="474"/>
      <c r="E232" s="474"/>
      <c r="F232" s="474"/>
      <c r="G232" s="474"/>
      <c r="H232" s="475">
        <f t="shared" ref="H232:H236" si="2">($F$210+$F$212)*H196</f>
        <v>20.078189098064833</v>
      </c>
      <c r="I232" s="475"/>
      <c r="J232" s="475">
        <f t="shared" ref="J232:J236" si="3">$F$213*J196</f>
        <v>0.36056338028169016</v>
      </c>
      <c r="K232" s="475"/>
      <c r="L232" s="475">
        <f t="shared" ref="L232:L236" si="4">$F$214*R196</f>
        <v>3.1804225352112678</v>
      </c>
      <c r="M232" s="475"/>
      <c r="N232" s="475">
        <f t="shared" ref="N232:N236" si="5">$F$216*R196</f>
        <v>1.73943661971831</v>
      </c>
      <c r="O232" s="475"/>
      <c r="P232" s="475">
        <f t="shared" ref="P232:P236" si="6">($F$211)*P196</f>
        <v>3.06</v>
      </c>
      <c r="Q232" s="475"/>
      <c r="R232" s="475">
        <f t="shared" ref="R232:R236" si="7">$F$215*R196</f>
        <v>0.8892000000000001</v>
      </c>
      <c r="S232" s="475"/>
      <c r="T232" s="475"/>
      <c r="U232" s="475"/>
      <c r="V232" s="475">
        <f t="shared" ref="V232:V235" si="8">SUM(H232:U232)</f>
        <v>29.307811633276096</v>
      </c>
      <c r="W232" s="475"/>
      <c r="X232" s="475"/>
      <c r="Y232" s="475"/>
      <c r="Z232" s="475"/>
      <c r="AA232" s="475"/>
      <c r="AB232" s="155"/>
      <c r="AC232" s="155"/>
      <c r="AD232" s="155"/>
      <c r="AE232" s="155"/>
      <c r="AF232" s="155"/>
      <c r="AG232" s="155"/>
      <c r="AH232" s="155"/>
      <c r="AI232" s="155"/>
      <c r="AJ232" s="155"/>
      <c r="AK232" s="155"/>
      <c r="AL232" s="155"/>
      <c r="AM232" s="155"/>
      <c r="AN232" s="155"/>
      <c r="AO232" s="155"/>
      <c r="AP232" s="155"/>
      <c r="AQ232" s="155"/>
      <c r="AR232" s="155"/>
      <c r="AS232" s="155"/>
      <c r="AT232" s="155"/>
      <c r="AU232" s="155"/>
      <c r="AV232" s="155"/>
      <c r="AW232" s="155"/>
      <c r="AX232" s="155"/>
      <c r="AY232" s="155"/>
      <c r="AZ232" s="155"/>
      <c r="BA232" s="155"/>
      <c r="BB232" s="155"/>
    </row>
    <row r="233" spans="1:54" ht="9.75" customHeight="1" x14ac:dyDescent="0.2">
      <c r="A233" s="155"/>
      <c r="B233" s="155"/>
      <c r="C233" s="474" t="s">
        <v>493</v>
      </c>
      <c r="D233" s="474"/>
      <c r="E233" s="474"/>
      <c r="F233" s="474"/>
      <c r="G233" s="474"/>
      <c r="H233" s="475">
        <f t="shared" si="2"/>
        <v>20.078189098064833</v>
      </c>
      <c r="I233" s="475"/>
      <c r="J233" s="475">
        <f t="shared" si="3"/>
        <v>0.36056338028169016</v>
      </c>
      <c r="K233" s="475"/>
      <c r="L233" s="475">
        <f t="shared" si="4"/>
        <v>1.9571830985915495</v>
      </c>
      <c r="M233" s="475"/>
      <c r="N233" s="475">
        <f t="shared" si="5"/>
        <v>1.0704225352112677</v>
      </c>
      <c r="O233" s="475"/>
      <c r="P233" s="475">
        <f t="shared" si="6"/>
        <v>3.06</v>
      </c>
      <c r="Q233" s="475"/>
      <c r="R233" s="475">
        <f t="shared" si="7"/>
        <v>0.54720000000000002</v>
      </c>
      <c r="S233" s="475"/>
      <c r="T233" s="475"/>
      <c r="U233" s="475"/>
      <c r="V233" s="475">
        <f t="shared" si="8"/>
        <v>27.073558112149339</v>
      </c>
      <c r="W233" s="475"/>
      <c r="X233" s="475"/>
      <c r="Y233" s="475"/>
      <c r="Z233" s="475"/>
      <c r="AA233" s="475"/>
      <c r="AB233" s="155"/>
      <c r="AC233" s="155"/>
      <c r="AD233" s="155"/>
      <c r="AE233" s="155"/>
      <c r="AF233" s="155"/>
      <c r="AG233" s="155"/>
      <c r="AH233" s="155"/>
      <c r="AI233" s="155"/>
      <c r="AJ233" s="155"/>
      <c r="AK233" s="155"/>
      <c r="AL233" s="155"/>
      <c r="AM233" s="155"/>
      <c r="AN233" s="155"/>
      <c r="AO233" s="155"/>
      <c r="AP233" s="155"/>
      <c r="AQ233" s="155"/>
      <c r="AR233" s="155"/>
      <c r="AS233" s="155"/>
      <c r="AT233" s="155"/>
      <c r="AU233" s="155"/>
      <c r="AV233" s="155"/>
      <c r="AW233" s="155"/>
      <c r="AX233" s="155"/>
      <c r="AY233" s="155"/>
      <c r="AZ233" s="155"/>
      <c r="BA233" s="155"/>
      <c r="BB233" s="155"/>
    </row>
    <row r="234" spans="1:54" ht="9.75" customHeight="1" x14ac:dyDescent="0.2">
      <c r="A234" s="155"/>
      <c r="B234" s="155"/>
      <c r="C234" s="476" t="s">
        <v>59</v>
      </c>
      <c r="D234" s="476"/>
      <c r="E234" s="476"/>
      <c r="F234" s="476"/>
      <c r="G234" s="476"/>
      <c r="H234" s="475">
        <f t="shared" si="2"/>
        <v>25.097736372581039</v>
      </c>
      <c r="I234" s="475"/>
      <c r="J234" s="475">
        <f t="shared" si="3"/>
        <v>0.54084507042253527</v>
      </c>
      <c r="K234" s="475"/>
      <c r="L234" s="475">
        <f t="shared" si="4"/>
        <v>4.2813380281690145</v>
      </c>
      <c r="M234" s="475"/>
      <c r="N234" s="475">
        <f t="shared" si="5"/>
        <v>2.341549295774648</v>
      </c>
      <c r="O234" s="475"/>
      <c r="P234" s="475">
        <f t="shared" si="6"/>
        <v>4.1310000000000002</v>
      </c>
      <c r="Q234" s="475"/>
      <c r="R234" s="475">
        <f t="shared" si="7"/>
        <v>1.1970000000000001</v>
      </c>
      <c r="S234" s="475"/>
      <c r="T234" s="475"/>
      <c r="U234" s="475"/>
      <c r="V234" s="475">
        <f t="shared" si="8"/>
        <v>37.589468766947235</v>
      </c>
      <c r="W234" s="475"/>
      <c r="X234" s="475"/>
      <c r="Y234" s="475"/>
      <c r="Z234" s="475"/>
      <c r="AA234" s="475"/>
      <c r="AB234" s="155"/>
      <c r="AC234" s="155"/>
      <c r="AD234" s="155"/>
      <c r="AE234" s="155"/>
      <c r="AF234" s="155"/>
      <c r="AG234" s="155"/>
      <c r="AH234" s="155"/>
      <c r="AI234" s="155"/>
      <c r="AJ234" s="155"/>
      <c r="AK234" s="155"/>
      <c r="AL234" s="155"/>
      <c r="AM234" s="155"/>
      <c r="AN234" s="155"/>
      <c r="AO234" s="155"/>
      <c r="AP234" s="155"/>
      <c r="AQ234" s="155"/>
      <c r="AR234" s="155"/>
      <c r="AS234" s="155"/>
      <c r="AT234" s="155"/>
      <c r="AU234" s="155"/>
      <c r="AV234" s="155"/>
      <c r="AW234" s="155"/>
      <c r="AX234" s="155"/>
      <c r="AY234" s="155"/>
      <c r="AZ234" s="155"/>
      <c r="BA234" s="155"/>
      <c r="BB234" s="155"/>
    </row>
    <row r="235" spans="1:54" ht="9.75" customHeight="1" x14ac:dyDescent="0.2">
      <c r="A235" s="155"/>
      <c r="B235" s="155"/>
      <c r="C235" s="474" t="s">
        <v>490</v>
      </c>
      <c r="D235" s="474"/>
      <c r="E235" s="474"/>
      <c r="F235" s="474"/>
      <c r="G235" s="474"/>
      <c r="H235" s="475">
        <f t="shared" si="2"/>
        <v>25.097736372581039</v>
      </c>
      <c r="I235" s="475"/>
      <c r="J235" s="475">
        <f t="shared" si="3"/>
        <v>0.54084507042253527</v>
      </c>
      <c r="K235" s="475"/>
      <c r="L235" s="475">
        <f t="shared" si="4"/>
        <v>3.3027464788732397</v>
      </c>
      <c r="M235" s="475"/>
      <c r="N235" s="475">
        <f t="shared" si="5"/>
        <v>1.8063380281690142</v>
      </c>
      <c r="O235" s="475"/>
      <c r="P235" s="475">
        <f t="shared" si="6"/>
        <v>4.1310000000000002</v>
      </c>
      <c r="Q235" s="475"/>
      <c r="R235" s="475">
        <f t="shared" si="7"/>
        <v>0.92340000000000011</v>
      </c>
      <c r="S235" s="475"/>
      <c r="T235" s="475"/>
      <c r="U235" s="475"/>
      <c r="V235" s="475">
        <f t="shared" si="8"/>
        <v>35.802065950045829</v>
      </c>
      <c r="W235" s="475"/>
      <c r="X235" s="475"/>
      <c r="Y235" s="475"/>
      <c r="Z235" s="475"/>
      <c r="AA235" s="475"/>
      <c r="AB235" s="155"/>
      <c r="AC235" s="155"/>
      <c r="AD235" s="155"/>
      <c r="AE235" s="155"/>
      <c r="AF235" s="155"/>
      <c r="AG235" s="155"/>
      <c r="AH235" s="155"/>
      <c r="AI235" s="155"/>
      <c r="AJ235" s="155"/>
      <c r="AK235" s="155"/>
      <c r="AL235" s="155"/>
      <c r="AM235" s="155"/>
      <c r="AN235" s="155"/>
      <c r="AO235" s="155"/>
      <c r="AP235" s="155"/>
      <c r="AQ235" s="155"/>
      <c r="AR235" s="155"/>
      <c r="AS235" s="155"/>
      <c r="AT235" s="155"/>
      <c r="AU235" s="155"/>
      <c r="AV235" s="155"/>
      <c r="AW235" s="155"/>
      <c r="AX235" s="155"/>
      <c r="AY235" s="155"/>
      <c r="AZ235" s="155"/>
      <c r="BA235" s="155"/>
      <c r="BB235" s="155"/>
    </row>
    <row r="236" spans="1:54" ht="9.75" customHeight="1" x14ac:dyDescent="0.2">
      <c r="A236" s="155"/>
      <c r="B236" s="155"/>
      <c r="C236" s="476" t="s">
        <v>94</v>
      </c>
      <c r="D236" s="476"/>
      <c r="E236" s="476"/>
      <c r="F236" s="476"/>
      <c r="G236" s="476"/>
      <c r="H236" s="475">
        <f t="shared" si="2"/>
        <v>25.097736372581039</v>
      </c>
      <c r="I236" s="475"/>
      <c r="J236" s="475">
        <f t="shared" si="3"/>
        <v>0.54084507042253527</v>
      </c>
      <c r="K236" s="475"/>
      <c r="L236" s="475">
        <f t="shared" si="4"/>
        <v>1.2232394366197183</v>
      </c>
      <c r="M236" s="475"/>
      <c r="N236" s="475">
        <f t="shared" si="5"/>
        <v>0.66901408450704225</v>
      </c>
      <c r="O236" s="475"/>
      <c r="P236" s="475">
        <f t="shared" si="6"/>
        <v>4.1310000000000002</v>
      </c>
      <c r="Q236" s="475"/>
      <c r="R236" s="475">
        <f t="shared" si="7"/>
        <v>0.34200000000000003</v>
      </c>
      <c r="S236" s="475"/>
      <c r="T236" s="475"/>
      <c r="U236" s="475"/>
      <c r="V236" s="475">
        <f>SUM(H236:U236)</f>
        <v>32.003834964130334</v>
      </c>
      <c r="W236" s="475"/>
      <c r="X236" s="475"/>
      <c r="Y236" s="475"/>
      <c r="Z236" s="475"/>
      <c r="AA236" s="475"/>
      <c r="AB236" s="155"/>
      <c r="AC236" s="155"/>
      <c r="AD236" s="155"/>
      <c r="AE236" s="155"/>
      <c r="AF236" s="155"/>
      <c r="AG236" s="155"/>
      <c r="AH236" s="155"/>
      <c r="AI236" s="155"/>
      <c r="AJ236" s="155"/>
      <c r="AK236" s="155"/>
      <c r="AL236" s="155"/>
      <c r="AM236" s="155"/>
      <c r="AN236" s="155"/>
      <c r="AO236" s="155"/>
      <c r="AP236" s="155"/>
      <c r="AQ236" s="155"/>
      <c r="AR236" s="155"/>
      <c r="AS236" s="155"/>
      <c r="AT236" s="155"/>
      <c r="AU236" s="155"/>
      <c r="AV236" s="155"/>
      <c r="AW236" s="155"/>
      <c r="AX236" s="155"/>
      <c r="AY236" s="155"/>
      <c r="AZ236" s="155"/>
      <c r="BA236" s="155"/>
      <c r="BB236" s="155"/>
    </row>
    <row r="237" spans="1:54" ht="9.75" customHeight="1" x14ac:dyDescent="0.2">
      <c r="A237" s="155"/>
      <c r="B237" s="155"/>
      <c r="C237" s="59"/>
      <c r="D237" s="155"/>
      <c r="E237" s="155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  <c r="W237" s="155"/>
      <c r="X237" s="155"/>
      <c r="Y237" s="155"/>
      <c r="Z237" s="155"/>
      <c r="AA237" s="155"/>
      <c r="AB237" s="155"/>
      <c r="AC237" s="155"/>
      <c r="AD237" s="155"/>
      <c r="AE237" s="155"/>
      <c r="AF237" s="155"/>
      <c r="AG237" s="155"/>
      <c r="AH237" s="155"/>
      <c r="AI237" s="155"/>
      <c r="AJ237" s="155"/>
      <c r="AK237" s="155"/>
      <c r="AL237" s="155"/>
      <c r="AM237" s="155"/>
      <c r="AN237" s="155"/>
      <c r="AO237" s="155"/>
      <c r="AP237" s="155"/>
      <c r="AQ237" s="155"/>
      <c r="AR237" s="155"/>
      <c r="AS237" s="155"/>
      <c r="AT237" s="155"/>
      <c r="AU237" s="155"/>
      <c r="AV237" s="155"/>
      <c r="AW237" s="155"/>
      <c r="AX237" s="155"/>
      <c r="AY237" s="155"/>
      <c r="AZ237" s="155"/>
      <c r="BA237" s="155"/>
      <c r="BB237" s="155"/>
    </row>
    <row r="238" spans="1:54" ht="9.75" customHeight="1" x14ac:dyDescent="0.2">
      <c r="A238" s="155"/>
      <c r="B238" s="155"/>
      <c r="C238" s="59"/>
      <c r="D238" s="155"/>
      <c r="E238" s="155"/>
      <c r="F238" s="155"/>
      <c r="G238" s="155"/>
      <c r="H238" s="155"/>
      <c r="I238" s="155"/>
      <c r="J238" s="155"/>
      <c r="K238" s="155"/>
      <c r="L238" s="155"/>
      <c r="M238" s="155"/>
      <c r="N238" s="155"/>
      <c r="O238" s="155"/>
      <c r="P238" s="155"/>
      <c r="Q238" s="155"/>
      <c r="R238" s="155"/>
      <c r="S238" s="155"/>
      <c r="T238" s="155"/>
      <c r="U238" s="464"/>
      <c r="V238" s="155"/>
      <c r="W238" s="155"/>
      <c r="X238" s="155"/>
      <c r="Y238" s="155"/>
      <c r="Z238" s="155"/>
      <c r="AA238" s="155"/>
      <c r="AB238" s="155"/>
      <c r="AC238" s="155"/>
      <c r="AD238" s="155"/>
      <c r="AE238" s="155"/>
      <c r="AF238" s="155"/>
      <c r="AG238" s="155"/>
      <c r="AH238" s="155"/>
      <c r="AI238" s="155"/>
      <c r="AJ238" s="155"/>
      <c r="AK238" s="155"/>
      <c r="AL238" s="155"/>
      <c r="AM238" s="155"/>
      <c r="AN238" s="155"/>
      <c r="AO238" s="155"/>
      <c r="AP238" s="155"/>
      <c r="AQ238" s="155"/>
      <c r="AR238" s="155"/>
      <c r="AS238" s="155"/>
      <c r="AT238" s="155"/>
      <c r="AU238" s="155"/>
      <c r="AV238" s="155"/>
      <c r="AW238" s="155"/>
      <c r="AX238" s="155"/>
      <c r="AY238" s="155"/>
      <c r="AZ238" s="155"/>
      <c r="BA238" s="155"/>
      <c r="BB238" s="155"/>
    </row>
    <row r="239" spans="1:54" ht="9.75" customHeight="1" x14ac:dyDescent="0.2">
      <c r="A239" s="155"/>
      <c r="B239" s="155"/>
      <c r="C239" s="155" t="s">
        <v>114</v>
      </c>
      <c r="D239" s="155"/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55"/>
      <c r="R239" s="155" t="s">
        <v>501</v>
      </c>
      <c r="S239" s="155"/>
      <c r="T239" s="155"/>
      <c r="U239" s="155"/>
      <c r="V239" s="155"/>
      <c r="W239" s="155"/>
      <c r="X239" s="155"/>
      <c r="Y239" s="155"/>
      <c r="Z239" s="155"/>
      <c r="AA239" s="155"/>
      <c r="AB239" s="155"/>
      <c r="AC239" s="155"/>
      <c r="AD239" s="155"/>
      <c r="AE239" s="155"/>
      <c r="AF239" s="155"/>
      <c r="AG239" s="155"/>
      <c r="AH239" s="155"/>
      <c r="AI239" s="155"/>
      <c r="AJ239" s="155"/>
      <c r="AK239" s="155"/>
      <c r="AL239" s="155"/>
      <c r="AM239" s="155"/>
      <c r="AN239" s="155"/>
      <c r="AO239" s="155"/>
      <c r="AP239" s="155"/>
      <c r="AQ239" s="155"/>
      <c r="AR239" s="155"/>
      <c r="AS239" s="155"/>
      <c r="AT239" s="155"/>
      <c r="AU239" s="155"/>
      <c r="AV239" s="155"/>
      <c r="AW239" s="155"/>
      <c r="AX239" s="155"/>
      <c r="AY239" s="155"/>
      <c r="AZ239" s="155"/>
      <c r="BA239" s="155"/>
      <c r="BB239" s="155"/>
    </row>
    <row r="240" spans="1:54" ht="9.75" customHeight="1" x14ac:dyDescent="0.2">
      <c r="A240" s="155"/>
      <c r="B240" s="155"/>
      <c r="C240" s="474" t="s">
        <v>494</v>
      </c>
      <c r="D240" s="474"/>
      <c r="E240" s="474"/>
      <c r="F240" s="474"/>
      <c r="G240" s="474"/>
      <c r="H240" s="475" t="s">
        <v>495</v>
      </c>
      <c r="I240" s="475"/>
      <c r="J240" s="475" t="s">
        <v>496</v>
      </c>
      <c r="K240" s="475"/>
      <c r="L240" s="475" t="s">
        <v>497</v>
      </c>
      <c r="M240" s="475"/>
      <c r="N240" s="475" t="s">
        <v>498</v>
      </c>
      <c r="O240" s="475"/>
      <c r="P240" s="474" t="s">
        <v>499</v>
      </c>
      <c r="Q240" s="474"/>
      <c r="R240" s="475" t="s">
        <v>500</v>
      </c>
      <c r="S240" s="475"/>
      <c r="T240" s="475"/>
      <c r="U240" s="475"/>
      <c r="V240" s="475"/>
      <c r="W240" s="475"/>
      <c r="X240" s="155"/>
      <c r="Y240" s="155"/>
      <c r="Z240" s="155"/>
      <c r="AA240" s="155"/>
      <c r="AB240" s="155"/>
      <c r="AC240" s="155"/>
      <c r="AD240" s="155"/>
      <c r="AE240" s="155"/>
      <c r="AF240" s="155"/>
      <c r="AG240" s="155"/>
      <c r="AH240" s="155"/>
      <c r="AI240" s="155"/>
      <c r="AJ240" s="155"/>
      <c r="AK240" s="155"/>
      <c r="AL240" s="155"/>
      <c r="AM240" s="155"/>
      <c r="AN240" s="155"/>
      <c r="AO240" s="155"/>
      <c r="AP240" s="155"/>
      <c r="AQ240" s="155"/>
      <c r="AR240" s="155"/>
      <c r="AS240" s="155"/>
      <c r="AT240" s="155"/>
      <c r="AU240" s="155"/>
      <c r="AV240" s="155"/>
      <c r="AW240" s="155"/>
      <c r="AX240" s="155"/>
      <c r="AY240" s="155"/>
      <c r="AZ240" s="155"/>
      <c r="BA240" s="155"/>
      <c r="BB240" s="155"/>
    </row>
    <row r="241" spans="1:54" ht="9.75" customHeight="1" x14ac:dyDescent="0.2">
      <c r="A241" s="155"/>
      <c r="B241" s="155"/>
      <c r="C241" s="477" t="s">
        <v>53</v>
      </c>
      <c r="D241" s="477"/>
      <c r="E241" s="477"/>
      <c r="F241" s="477"/>
      <c r="G241" s="477"/>
      <c r="H241" s="478" t="s">
        <v>179</v>
      </c>
      <c r="I241" s="478"/>
      <c r="J241" s="478" t="s">
        <v>180</v>
      </c>
      <c r="K241" s="478"/>
      <c r="L241" s="478" t="s">
        <v>28</v>
      </c>
      <c r="M241" s="478"/>
      <c r="N241" s="478" t="s">
        <v>109</v>
      </c>
      <c r="O241" s="478"/>
      <c r="P241" s="478" t="s">
        <v>40</v>
      </c>
      <c r="Q241" s="478"/>
      <c r="R241" s="479" t="s">
        <v>165</v>
      </c>
      <c r="S241" s="480"/>
      <c r="T241" s="481"/>
      <c r="U241" s="481"/>
      <c r="V241" s="487" t="s">
        <v>505</v>
      </c>
      <c r="W241" s="483"/>
      <c r="X241" s="155"/>
      <c r="Y241" s="155"/>
      <c r="Z241" s="155"/>
      <c r="AA241" s="155"/>
      <c r="AB241" s="155"/>
      <c r="AC241" s="155"/>
      <c r="AD241" s="155"/>
      <c r="AE241" s="155"/>
      <c r="AF241" s="155"/>
      <c r="AG241" s="155"/>
      <c r="AH241" s="155"/>
      <c r="AI241" s="155"/>
      <c r="AJ241" s="155"/>
      <c r="AK241" s="155"/>
      <c r="AL241" s="155"/>
      <c r="AM241" s="155"/>
      <c r="AN241" s="155"/>
      <c r="AO241" s="155"/>
      <c r="AP241" s="155"/>
      <c r="AQ241" s="155"/>
      <c r="AR241" s="155"/>
      <c r="AS241" s="155"/>
      <c r="AT241" s="155"/>
      <c r="AU241" s="155"/>
      <c r="AV241" s="155"/>
      <c r="AW241" s="155"/>
      <c r="AX241" s="155"/>
      <c r="AY241" s="155"/>
      <c r="AZ241" s="155"/>
      <c r="BA241" s="155"/>
      <c r="BB241" s="155"/>
    </row>
    <row r="242" spans="1:54" ht="9.75" customHeight="1" x14ac:dyDescent="0.2">
      <c r="A242" s="155"/>
      <c r="B242" s="155"/>
      <c r="C242" s="474" t="s">
        <v>504</v>
      </c>
      <c r="D242" s="474"/>
      <c r="E242" s="474"/>
      <c r="F242" s="474"/>
      <c r="G242" s="474"/>
      <c r="H242" s="484">
        <f>L210+L212</f>
        <v>25.734294076049931</v>
      </c>
      <c r="I242" s="485"/>
      <c r="J242" s="475">
        <f>L213</f>
        <v>0.5138028169014085</v>
      </c>
      <c r="K242" s="475"/>
      <c r="L242" s="475">
        <f>L214</f>
        <v>3.4862323943661973</v>
      </c>
      <c r="M242" s="475"/>
      <c r="N242" s="475">
        <f>L216</f>
        <v>1.9066901408450705</v>
      </c>
      <c r="O242" s="475"/>
      <c r="P242" s="475">
        <f>L211</f>
        <v>6.2729999999999997</v>
      </c>
      <c r="Q242" s="474"/>
      <c r="R242" s="475">
        <f>L215</f>
        <v>1.5390000000000001</v>
      </c>
      <c r="S242" s="475"/>
      <c r="T242" s="475"/>
      <c r="U242" s="475"/>
      <c r="V242" s="475"/>
      <c r="W242" s="475"/>
      <c r="X242" s="155"/>
      <c r="Y242" s="155"/>
      <c r="Z242" s="155"/>
      <c r="AA242" s="155"/>
      <c r="AB242" s="155"/>
      <c r="AC242" s="155"/>
      <c r="AD242" s="155"/>
      <c r="AE242" s="155"/>
      <c r="AF242" s="155"/>
      <c r="AG242" s="155"/>
      <c r="AH242" s="155"/>
      <c r="AI242" s="155"/>
      <c r="AJ242" s="155"/>
      <c r="AK242" s="155"/>
      <c r="AL242" s="155"/>
      <c r="AM242" s="155"/>
      <c r="AN242" s="155"/>
      <c r="AO242" s="155"/>
      <c r="AP242" s="155"/>
      <c r="AQ242" s="155"/>
      <c r="AR242" s="155"/>
      <c r="AS242" s="155"/>
      <c r="AT242" s="155"/>
      <c r="AU242" s="155"/>
      <c r="AV242" s="155"/>
      <c r="AW242" s="155"/>
      <c r="AX242" s="155"/>
      <c r="AY242" s="155"/>
      <c r="AZ242" s="155"/>
      <c r="BA242" s="155"/>
      <c r="BB242" s="155"/>
    </row>
    <row r="243" spans="1:54" ht="9.75" customHeight="1" x14ac:dyDescent="0.2">
      <c r="A243" s="155"/>
      <c r="B243" s="155"/>
      <c r="C243" s="476" t="s">
        <v>491</v>
      </c>
      <c r="D243" s="476"/>
      <c r="E243" s="476"/>
      <c r="F243" s="476"/>
      <c r="G243" s="476"/>
      <c r="H243" s="484">
        <f>($L$210+$L$212)*H195</f>
        <v>25.734294076049931</v>
      </c>
      <c r="I243" s="485"/>
      <c r="J243" s="475">
        <f>$L$213*J195</f>
        <v>0.5138028169014085</v>
      </c>
      <c r="K243" s="475"/>
      <c r="L243" s="475">
        <f>$L$214*R195</f>
        <v>3.4862323943661973</v>
      </c>
      <c r="M243" s="475"/>
      <c r="N243" s="475">
        <f>$L$216*R195</f>
        <v>1.9066901408450705</v>
      </c>
      <c r="O243" s="475"/>
      <c r="P243" s="475">
        <f>($L$211)*P195</f>
        <v>6.2729999999999997</v>
      </c>
      <c r="Q243" s="475"/>
      <c r="R243" s="475">
        <f>$L$215*R195</f>
        <v>1.5390000000000001</v>
      </c>
      <c r="S243" s="475"/>
      <c r="T243" s="475"/>
      <c r="U243" s="475"/>
      <c r="V243" s="475">
        <f>SUM(H243:U243)</f>
        <v>39.453019428162605</v>
      </c>
      <c r="W243" s="475"/>
      <c r="X243" s="155"/>
      <c r="Y243" s="155"/>
      <c r="Z243" s="155"/>
      <c r="AA243" s="155"/>
      <c r="AB243" s="155"/>
      <c r="AC243" s="155"/>
      <c r="AD243" s="155"/>
      <c r="AE243" s="155"/>
      <c r="AF243" s="155"/>
      <c r="AG243" s="155"/>
      <c r="AH243" s="155"/>
      <c r="AI243" s="155"/>
      <c r="AJ243" s="155"/>
      <c r="AK243" s="155"/>
      <c r="AL243" s="155"/>
      <c r="AM243" s="155"/>
      <c r="AN243" s="155"/>
      <c r="AO243" s="155"/>
      <c r="AP243" s="155"/>
      <c r="AQ243" s="155"/>
      <c r="AR243" s="155"/>
      <c r="AS243" s="155"/>
      <c r="AT243" s="155"/>
      <c r="AU243" s="155"/>
      <c r="AV243" s="155"/>
      <c r="AW243" s="155"/>
      <c r="AX243" s="155"/>
      <c r="AY243" s="155"/>
      <c r="AZ243" s="155"/>
      <c r="BA243" s="155"/>
      <c r="BB243" s="155"/>
    </row>
    <row r="244" spans="1:54" ht="9.75" customHeight="1" x14ac:dyDescent="0.2">
      <c r="A244" s="155"/>
      <c r="B244" s="155"/>
      <c r="C244" s="474" t="s">
        <v>492</v>
      </c>
      <c r="D244" s="474"/>
      <c r="E244" s="474"/>
      <c r="F244" s="474"/>
      <c r="G244" s="474"/>
      <c r="H244" s="484">
        <f t="shared" ref="H244:H248" si="9">($L$210+$L$212)*H196</f>
        <v>25.734294076049931</v>
      </c>
      <c r="I244" s="485"/>
      <c r="J244" s="475">
        <f t="shared" ref="J244:J248" si="10">$L$213*J196</f>
        <v>0.5138028169014085</v>
      </c>
      <c r="K244" s="475"/>
      <c r="L244" s="475">
        <f t="shared" ref="L244:L248" si="11">$L$214*R196</f>
        <v>4.532102112676057</v>
      </c>
      <c r="M244" s="475"/>
      <c r="N244" s="475">
        <f t="shared" ref="N244:N248" si="12">$L$216*R196</f>
        <v>2.4786971830985918</v>
      </c>
      <c r="O244" s="475"/>
      <c r="P244" s="475">
        <f t="shared" ref="P244:P248" si="13">($L$211)*P196</f>
        <v>6.2729999999999997</v>
      </c>
      <c r="Q244" s="475"/>
      <c r="R244" s="475">
        <f t="shared" ref="R244:R248" si="14">$L$215*R196</f>
        <v>2.0007000000000001</v>
      </c>
      <c r="S244" s="475"/>
      <c r="T244" s="475"/>
      <c r="U244" s="475"/>
      <c r="V244" s="475">
        <f t="shared" ref="V244:V248" si="15">SUM(H244:U244)</f>
        <v>41.532596188725982</v>
      </c>
      <c r="W244" s="475"/>
      <c r="X244" s="155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55"/>
      <c r="AM244" s="155"/>
      <c r="AN244" s="155"/>
      <c r="AO244" s="155"/>
      <c r="AP244" s="155"/>
      <c r="AQ244" s="155"/>
      <c r="AR244" s="155"/>
      <c r="AS244" s="155"/>
      <c r="AT244" s="155"/>
      <c r="AU244" s="155"/>
      <c r="AV244" s="155"/>
      <c r="AW244" s="155"/>
      <c r="AX244" s="155"/>
      <c r="AY244" s="155"/>
      <c r="AZ244" s="155"/>
      <c r="BA244" s="155"/>
      <c r="BB244" s="155"/>
    </row>
    <row r="245" spans="1:54" ht="9.75" customHeight="1" x14ac:dyDescent="0.2">
      <c r="A245" s="155"/>
      <c r="B245" s="155"/>
      <c r="C245" s="474" t="s">
        <v>493</v>
      </c>
      <c r="D245" s="474"/>
      <c r="E245" s="474"/>
      <c r="F245" s="474"/>
      <c r="G245" s="474"/>
      <c r="H245" s="484">
        <f t="shared" si="9"/>
        <v>25.734294076049931</v>
      </c>
      <c r="I245" s="485"/>
      <c r="J245" s="475">
        <f t="shared" si="10"/>
        <v>0.5138028169014085</v>
      </c>
      <c r="K245" s="475"/>
      <c r="L245" s="475">
        <f t="shared" si="11"/>
        <v>2.7889859154929582</v>
      </c>
      <c r="M245" s="475"/>
      <c r="N245" s="475">
        <f t="shared" si="12"/>
        <v>1.5253521126760565</v>
      </c>
      <c r="O245" s="475"/>
      <c r="P245" s="475">
        <f t="shared" si="13"/>
        <v>6.2729999999999997</v>
      </c>
      <c r="Q245" s="475"/>
      <c r="R245" s="475">
        <f t="shared" si="14"/>
        <v>1.2312000000000003</v>
      </c>
      <c r="S245" s="475"/>
      <c r="T245" s="475"/>
      <c r="U245" s="475"/>
      <c r="V245" s="475">
        <f t="shared" si="15"/>
        <v>38.066634921120354</v>
      </c>
      <c r="W245" s="475"/>
      <c r="X245" s="155"/>
      <c r="Y245" s="155"/>
      <c r="Z245" s="155"/>
      <c r="AA245" s="155"/>
      <c r="AB245" s="155"/>
      <c r="AC245" s="155"/>
      <c r="AD245" s="155"/>
      <c r="AE245" s="155"/>
      <c r="AF245" s="155"/>
      <c r="AG245" s="155"/>
      <c r="AH245" s="155"/>
      <c r="AI245" s="155"/>
      <c r="AJ245" s="155"/>
      <c r="AK245" s="155"/>
      <c r="AL245" s="155"/>
      <c r="AM245" s="155"/>
      <c r="AN245" s="155"/>
      <c r="AO245" s="155"/>
      <c r="AP245" s="155"/>
      <c r="AQ245" s="155"/>
      <c r="AR245" s="155"/>
      <c r="AS245" s="155"/>
      <c r="AT245" s="155"/>
      <c r="AU245" s="155"/>
      <c r="AV245" s="155"/>
      <c r="AW245" s="155"/>
      <c r="AX245" s="155"/>
      <c r="AY245" s="155"/>
      <c r="AZ245" s="155"/>
      <c r="BA245" s="155"/>
      <c r="BB245" s="155"/>
    </row>
    <row r="246" spans="1:54" ht="9.75" customHeight="1" x14ac:dyDescent="0.2">
      <c r="A246" s="155"/>
      <c r="B246" s="155"/>
      <c r="C246" s="476" t="s">
        <v>59</v>
      </c>
      <c r="D246" s="476"/>
      <c r="E246" s="476"/>
      <c r="F246" s="476"/>
      <c r="G246" s="476"/>
      <c r="H246" s="484">
        <f t="shared" si="9"/>
        <v>32.167867595062411</v>
      </c>
      <c r="I246" s="485"/>
      <c r="J246" s="475">
        <f t="shared" si="10"/>
        <v>0.7707042253521128</v>
      </c>
      <c r="K246" s="475"/>
      <c r="L246" s="475">
        <f t="shared" si="11"/>
        <v>6.1009066901408451</v>
      </c>
      <c r="M246" s="475"/>
      <c r="N246" s="475">
        <f t="shared" si="12"/>
        <v>3.3367077464788735</v>
      </c>
      <c r="O246" s="475"/>
      <c r="P246" s="475">
        <f t="shared" si="13"/>
        <v>8.4685500000000005</v>
      </c>
      <c r="Q246" s="475"/>
      <c r="R246" s="475">
        <f t="shared" si="14"/>
        <v>2.6932500000000004</v>
      </c>
      <c r="S246" s="475"/>
      <c r="T246" s="475"/>
      <c r="U246" s="475"/>
      <c r="V246" s="475">
        <f t="shared" si="15"/>
        <v>53.537986257034241</v>
      </c>
      <c r="W246" s="475"/>
      <c r="X246" s="155"/>
      <c r="Y246" s="155"/>
      <c r="Z246" s="155"/>
      <c r="AA246" s="155"/>
      <c r="AB246" s="155"/>
      <c r="AC246" s="155"/>
      <c r="AD246" s="155"/>
      <c r="AE246" s="155"/>
      <c r="AF246" s="155"/>
      <c r="AG246" s="155"/>
      <c r="AH246" s="155"/>
      <c r="AI246" s="155"/>
      <c r="AJ246" s="155"/>
      <c r="AK246" s="155"/>
      <c r="AL246" s="155"/>
      <c r="AM246" s="155"/>
      <c r="AN246" s="155"/>
      <c r="AO246" s="155"/>
      <c r="AP246" s="155"/>
      <c r="AQ246" s="155"/>
      <c r="AR246" s="155"/>
      <c r="AS246" s="155"/>
      <c r="AT246" s="155"/>
      <c r="AU246" s="155"/>
      <c r="AV246" s="155"/>
      <c r="AW246" s="155"/>
      <c r="AX246" s="155"/>
      <c r="AY246" s="155"/>
      <c r="AZ246" s="155"/>
      <c r="BA246" s="155"/>
      <c r="BB246" s="155"/>
    </row>
    <row r="247" spans="1:54" ht="9.75" customHeight="1" x14ac:dyDescent="0.2">
      <c r="A247" s="155"/>
      <c r="B247" s="155"/>
      <c r="C247" s="474" t="s">
        <v>490</v>
      </c>
      <c r="D247" s="474"/>
      <c r="E247" s="474"/>
      <c r="F247" s="474"/>
      <c r="G247" s="474"/>
      <c r="H247" s="484">
        <f t="shared" si="9"/>
        <v>32.167867595062411</v>
      </c>
      <c r="I247" s="485"/>
      <c r="J247" s="475">
        <f t="shared" si="10"/>
        <v>0.7707042253521128</v>
      </c>
      <c r="K247" s="475"/>
      <c r="L247" s="475">
        <f t="shared" si="11"/>
        <v>4.7064137323943669</v>
      </c>
      <c r="M247" s="475"/>
      <c r="N247" s="475">
        <f t="shared" si="12"/>
        <v>2.5740316901408455</v>
      </c>
      <c r="O247" s="475"/>
      <c r="P247" s="475">
        <f t="shared" si="13"/>
        <v>8.4685500000000005</v>
      </c>
      <c r="Q247" s="475"/>
      <c r="R247" s="475">
        <f t="shared" si="14"/>
        <v>2.0776500000000002</v>
      </c>
      <c r="S247" s="475"/>
      <c r="T247" s="475"/>
      <c r="U247" s="475"/>
      <c r="V247" s="475">
        <f t="shared" si="15"/>
        <v>50.765217242949731</v>
      </c>
      <c r="W247" s="475"/>
      <c r="X247" s="155"/>
      <c r="Y247" s="155"/>
      <c r="Z247" s="155"/>
      <c r="AA247" s="155"/>
      <c r="AB247" s="155"/>
      <c r="AC247" s="155"/>
      <c r="AD247" s="155"/>
      <c r="AE247" s="155"/>
      <c r="AF247" s="155"/>
      <c r="AG247" s="155"/>
      <c r="AH247" s="155"/>
      <c r="AI247" s="155"/>
      <c r="AJ247" s="155"/>
      <c r="AK247" s="155"/>
      <c r="AL247" s="155"/>
      <c r="AM247" s="155"/>
      <c r="AN247" s="155"/>
      <c r="AO247" s="155"/>
      <c r="AP247" s="155"/>
      <c r="AQ247" s="155"/>
      <c r="AR247" s="155"/>
      <c r="AS247" s="155"/>
      <c r="AT247" s="155"/>
      <c r="AU247" s="155"/>
      <c r="AV247" s="155"/>
      <c r="AW247" s="155"/>
      <c r="AX247" s="155"/>
      <c r="AY247" s="155"/>
      <c r="AZ247" s="155"/>
      <c r="BA247" s="155"/>
      <c r="BB247" s="155"/>
    </row>
    <row r="248" spans="1:54" ht="9.75" customHeight="1" x14ac:dyDescent="0.2">
      <c r="A248" s="155"/>
      <c r="B248" s="155"/>
      <c r="C248" s="476" t="s">
        <v>94</v>
      </c>
      <c r="D248" s="476"/>
      <c r="E248" s="476"/>
      <c r="F248" s="476"/>
      <c r="G248" s="476"/>
      <c r="H248" s="484">
        <f t="shared" si="9"/>
        <v>32.167867595062411</v>
      </c>
      <c r="I248" s="485"/>
      <c r="J248" s="475">
        <f t="shared" si="10"/>
        <v>0.7707042253521128</v>
      </c>
      <c r="K248" s="475"/>
      <c r="L248" s="475">
        <f t="shared" si="11"/>
        <v>1.7431161971830986</v>
      </c>
      <c r="M248" s="475"/>
      <c r="N248" s="475">
        <f t="shared" si="12"/>
        <v>0.95334507042253525</v>
      </c>
      <c r="O248" s="475"/>
      <c r="P248" s="475">
        <f t="shared" si="13"/>
        <v>8.4685500000000005</v>
      </c>
      <c r="Q248" s="475"/>
      <c r="R248" s="475">
        <f t="shared" si="14"/>
        <v>0.76950000000000007</v>
      </c>
      <c r="S248" s="475"/>
      <c r="T248" s="475"/>
      <c r="U248" s="475"/>
      <c r="V248" s="475">
        <f t="shared" si="15"/>
        <v>44.873083088020159</v>
      </c>
      <c r="W248" s="475"/>
      <c r="X248" s="155"/>
      <c r="Y248" s="155"/>
      <c r="Z248" s="155"/>
      <c r="AA248" s="155"/>
      <c r="AB248" s="155"/>
      <c r="AC248" s="155"/>
      <c r="AD248" s="155"/>
      <c r="AE248" s="155"/>
      <c r="AF248" s="155"/>
      <c r="AG248" s="155"/>
      <c r="AH248" s="155"/>
      <c r="AI248" s="155"/>
      <c r="AJ248" s="155"/>
      <c r="AK248" s="155"/>
      <c r="AL248" s="155"/>
      <c r="AM248" s="155"/>
      <c r="AN248" s="155"/>
      <c r="AO248" s="155"/>
      <c r="AP248" s="155"/>
      <c r="AQ248" s="155"/>
      <c r="AR248" s="155"/>
      <c r="AS248" s="155"/>
      <c r="AT248" s="155"/>
      <c r="AU248" s="155"/>
      <c r="AV248" s="155"/>
      <c r="AW248" s="155"/>
      <c r="AX248" s="155"/>
      <c r="AY248" s="155"/>
      <c r="AZ248" s="155"/>
      <c r="BA248" s="155"/>
      <c r="BB248" s="155"/>
    </row>
    <row r="249" spans="1:54" ht="9.75" customHeight="1" x14ac:dyDescent="0.2">
      <c r="A249" s="155"/>
      <c r="B249" s="465"/>
      <c r="C249" s="486"/>
      <c r="D249" s="486"/>
      <c r="E249" s="486"/>
      <c r="F249" s="486"/>
      <c r="G249" s="486"/>
      <c r="H249" s="466"/>
      <c r="I249" s="466"/>
      <c r="J249" s="466"/>
      <c r="K249" s="466"/>
      <c r="L249" s="466"/>
      <c r="M249" s="466"/>
      <c r="N249" s="466"/>
      <c r="O249" s="466"/>
      <c r="P249" s="466"/>
      <c r="Q249" s="466"/>
      <c r="R249" s="466"/>
      <c r="S249" s="466"/>
      <c r="T249" s="466"/>
      <c r="U249" s="466"/>
      <c r="V249" s="466"/>
      <c r="W249" s="466"/>
      <c r="X249" s="465"/>
      <c r="Y249" s="465"/>
      <c r="Z249" s="465"/>
      <c r="AA249" s="465"/>
      <c r="AB249" s="46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55"/>
      <c r="AM249" s="155"/>
      <c r="AN249" s="155"/>
      <c r="AO249" s="155"/>
      <c r="AP249" s="155"/>
      <c r="AQ249" s="155"/>
      <c r="AR249" s="155"/>
      <c r="AS249" s="155"/>
      <c r="AT249" s="155"/>
      <c r="AU249" s="155"/>
      <c r="AV249" s="155"/>
      <c r="AW249" s="155"/>
      <c r="AX249" s="155"/>
      <c r="AY249" s="155"/>
      <c r="AZ249" s="155"/>
      <c r="BA249" s="155"/>
      <c r="BB249" s="155"/>
    </row>
    <row r="250" spans="1:54" ht="9.75" customHeight="1" x14ac:dyDescent="0.2">
      <c r="A250" s="157"/>
      <c r="B250" s="157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57"/>
      <c r="T250" s="157"/>
      <c r="U250" s="157"/>
      <c r="V250" s="157"/>
      <c r="W250" s="157"/>
      <c r="X250" s="157"/>
      <c r="Y250" s="157"/>
      <c r="Z250" s="157"/>
      <c r="AA250" s="157"/>
      <c r="AB250" s="157"/>
      <c r="AC250" s="67"/>
      <c r="AD250" s="67"/>
      <c r="AE250" s="67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4"/>
    </row>
    <row r="251" spans="1:54" ht="9.75" customHeight="1" x14ac:dyDescent="0.2">
      <c r="A251" s="4"/>
      <c r="B251" s="4"/>
      <c r="C251" s="4" t="s">
        <v>115</v>
      </c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8"/>
      <c r="AD251" s="48"/>
      <c r="AE251" s="48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4"/>
    </row>
    <row r="252" spans="1:54" ht="9.75" customHeight="1" x14ac:dyDescent="0.2">
      <c r="A252" s="155"/>
      <c r="B252" s="155"/>
      <c r="C252" s="155"/>
      <c r="D252" s="155"/>
      <c r="E252" s="155"/>
      <c r="F252" s="155"/>
      <c r="G252" s="155"/>
      <c r="H252" s="155"/>
      <c r="I252" s="155"/>
      <c r="J252" s="155"/>
      <c r="K252" s="155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  <c r="Z252" s="155"/>
      <c r="AA252" s="155"/>
      <c r="AB252" s="155"/>
      <c r="AC252" s="48"/>
      <c r="AD252" s="48"/>
      <c r="AE252" s="48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55"/>
    </row>
    <row r="253" spans="1:54" ht="9.75" customHeight="1" x14ac:dyDescent="0.2">
      <c r="A253" s="155"/>
      <c r="B253" s="155"/>
      <c r="C253" s="474" t="s">
        <v>494</v>
      </c>
      <c r="D253" s="474"/>
      <c r="E253" s="474"/>
      <c r="F253" s="474"/>
      <c r="G253" s="474"/>
      <c r="H253" s="475" t="s">
        <v>463</v>
      </c>
      <c r="I253" s="475"/>
      <c r="J253" s="475" t="s">
        <v>506</v>
      </c>
      <c r="K253" s="475"/>
      <c r="L253" s="475" t="s">
        <v>507</v>
      </c>
      <c r="M253" s="475"/>
      <c r="N253" s="475" t="s">
        <v>508</v>
      </c>
      <c r="O253" s="475"/>
      <c r="P253" s="474"/>
      <c r="Q253" s="474"/>
      <c r="R253" s="475" t="s">
        <v>500</v>
      </c>
      <c r="S253" s="475"/>
      <c r="T253" s="475"/>
      <c r="U253" s="475"/>
      <c r="V253" s="475"/>
      <c r="W253" s="475"/>
      <c r="X253" s="155"/>
      <c r="Y253" s="155"/>
      <c r="Z253" s="155"/>
      <c r="AA253" s="155"/>
      <c r="AB253" s="155"/>
      <c r="AC253" s="48"/>
      <c r="AD253" s="48"/>
      <c r="AE253" s="48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55"/>
    </row>
    <row r="254" spans="1:54" ht="9.75" customHeight="1" x14ac:dyDescent="0.2">
      <c r="A254" s="155"/>
      <c r="B254" s="155"/>
      <c r="C254" s="477" t="s">
        <v>53</v>
      </c>
      <c r="D254" s="477"/>
      <c r="E254" s="477"/>
      <c r="F254" s="477"/>
      <c r="G254" s="477"/>
      <c r="H254" s="478" t="s">
        <v>41</v>
      </c>
      <c r="I254" s="478"/>
      <c r="J254" s="478" t="s">
        <v>510</v>
      </c>
      <c r="K254" s="478"/>
      <c r="L254" s="478" t="s">
        <v>93</v>
      </c>
      <c r="M254" s="478"/>
      <c r="N254" s="478" t="s">
        <v>30</v>
      </c>
      <c r="O254" s="478"/>
      <c r="P254" s="478"/>
      <c r="Q254" s="478"/>
      <c r="R254" s="479" t="s">
        <v>509</v>
      </c>
      <c r="S254" s="480"/>
      <c r="T254" s="481"/>
      <c r="U254" s="481"/>
      <c r="V254" s="487" t="s">
        <v>167</v>
      </c>
      <c r="W254" s="483"/>
      <c r="X254" s="155"/>
      <c r="Y254" s="155"/>
      <c r="Z254" s="155"/>
      <c r="AA254" s="155"/>
      <c r="AB254" s="155"/>
      <c r="AC254" s="48"/>
      <c r="AD254" s="48"/>
      <c r="AE254" s="48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55"/>
    </row>
    <row r="255" spans="1:54" ht="9.75" customHeight="1" x14ac:dyDescent="0.2">
      <c r="A255" s="155"/>
      <c r="B255" s="155"/>
      <c r="C255" s="474" t="s">
        <v>503</v>
      </c>
      <c r="D255" s="474"/>
      <c r="E255" s="474"/>
      <c r="F255" s="474"/>
      <c r="G255" s="474"/>
      <c r="H255" s="484">
        <f>T213</f>
        <v>4.4447224152520359</v>
      </c>
      <c r="I255" s="485"/>
      <c r="J255" s="475">
        <f>T214</f>
        <v>1.3798182880525642</v>
      </c>
      <c r="K255" s="475"/>
      <c r="L255" s="475">
        <f>T211</f>
        <v>0.64457746478873246</v>
      </c>
      <c r="M255" s="475"/>
      <c r="N255" s="475">
        <f>T210</f>
        <v>0.12232394366197184</v>
      </c>
      <c r="O255" s="475"/>
      <c r="P255" s="475"/>
      <c r="Q255" s="474"/>
      <c r="R255" s="475">
        <f>T212</f>
        <v>1.6889945177957737</v>
      </c>
      <c r="S255" s="475"/>
      <c r="T255" s="475"/>
      <c r="U255" s="475"/>
      <c r="V255" s="475"/>
      <c r="W255" s="475"/>
      <c r="X255" s="155"/>
      <c r="Y255" s="155"/>
      <c r="Z255" s="155"/>
      <c r="AA255" s="155"/>
      <c r="AB255" s="155"/>
      <c r="AC255" s="48"/>
      <c r="AD255" s="48"/>
      <c r="AE255" s="48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55"/>
    </row>
    <row r="256" spans="1:54" ht="9.75" customHeight="1" x14ac:dyDescent="0.2">
      <c r="A256" s="155"/>
      <c r="B256" s="155"/>
      <c r="C256" s="476" t="s">
        <v>491</v>
      </c>
      <c r="D256" s="476"/>
      <c r="E256" s="476"/>
      <c r="F256" s="476"/>
      <c r="G256" s="476"/>
      <c r="H256" s="475">
        <f>($T$213)*N195</f>
        <v>4.4447224152520359</v>
      </c>
      <c r="I256" s="475"/>
      <c r="J256" s="475">
        <f>$T$213*T195</f>
        <v>0</v>
      </c>
      <c r="K256" s="475"/>
      <c r="L256" s="475">
        <f>$T$211*T195</f>
        <v>0</v>
      </c>
      <c r="M256" s="475"/>
      <c r="N256" s="475">
        <f>$T$210*R195</f>
        <v>0.12232394366197184</v>
      </c>
      <c r="O256" s="475"/>
      <c r="P256" s="475"/>
      <c r="Q256" s="475"/>
      <c r="R256" s="475">
        <f>$T$212*R195</f>
        <v>1.6889945177957737</v>
      </c>
      <c r="S256" s="475"/>
      <c r="T256" s="475"/>
      <c r="U256" s="475"/>
      <c r="V256" s="475">
        <f>SUM(H256:U256)</f>
        <v>6.2560408767097808</v>
      </c>
      <c r="W256" s="475"/>
      <c r="X256" s="155"/>
      <c r="Y256" s="155"/>
      <c r="Z256" s="155"/>
      <c r="AA256" s="155"/>
      <c r="AB256" s="155"/>
      <c r="AC256" s="48"/>
      <c r="AD256" s="48"/>
      <c r="AE256" s="48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55"/>
    </row>
    <row r="257" spans="1:54" ht="9.75" customHeight="1" x14ac:dyDescent="0.2">
      <c r="A257" s="155"/>
      <c r="B257" s="155"/>
      <c r="C257" s="474" t="s">
        <v>492</v>
      </c>
      <c r="D257" s="474"/>
      <c r="E257" s="474"/>
      <c r="F257" s="474"/>
      <c r="G257" s="474"/>
      <c r="H257" s="475">
        <f t="shared" ref="H257:H261" si="16">($T$213)*N196</f>
        <v>4.4447224152520359</v>
      </c>
      <c r="I257" s="475"/>
      <c r="J257" s="475">
        <f t="shared" ref="J257:J261" si="17">$T$213*T196</f>
        <v>0</v>
      </c>
      <c r="K257" s="475"/>
      <c r="L257" s="475">
        <f t="shared" ref="L257:L261" si="18">$T$211*T196</f>
        <v>0</v>
      </c>
      <c r="M257" s="475"/>
      <c r="N257" s="475">
        <f t="shared" ref="N257:N261" si="19">$T$210*R196</f>
        <v>0.1590211267605634</v>
      </c>
      <c r="O257" s="475"/>
      <c r="P257" s="475"/>
      <c r="Q257" s="475"/>
      <c r="R257" s="475">
        <f t="shared" ref="R257:R261" si="20">$T$212*R196</f>
        <v>2.1956928731345058</v>
      </c>
      <c r="S257" s="475"/>
      <c r="T257" s="475"/>
      <c r="U257" s="475"/>
      <c r="V257" s="475">
        <f t="shared" ref="V257:V261" si="21">SUM(H257:U257)</f>
        <v>6.7994364151471043</v>
      </c>
      <c r="W257" s="475"/>
      <c r="X257" s="155"/>
      <c r="Y257" s="155"/>
      <c r="Z257" s="155"/>
      <c r="AA257" s="155"/>
      <c r="AB257" s="155"/>
      <c r="AC257" s="48"/>
      <c r="AD257" s="48"/>
      <c r="AE257" s="48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55"/>
    </row>
    <row r="258" spans="1:54" ht="9.75" customHeight="1" x14ac:dyDescent="0.2">
      <c r="A258" s="155"/>
      <c r="B258" s="155"/>
      <c r="C258" s="474" t="s">
        <v>493</v>
      </c>
      <c r="D258" s="474"/>
      <c r="E258" s="474"/>
      <c r="F258" s="474"/>
      <c r="G258" s="474"/>
      <c r="H258" s="475">
        <f t="shared" si="16"/>
        <v>4.4447224152520359</v>
      </c>
      <c r="I258" s="475"/>
      <c r="J258" s="475">
        <f t="shared" si="17"/>
        <v>0</v>
      </c>
      <c r="K258" s="475"/>
      <c r="L258" s="475">
        <f t="shared" si="18"/>
        <v>0</v>
      </c>
      <c r="M258" s="475"/>
      <c r="N258" s="475">
        <f t="shared" si="19"/>
        <v>9.7859154929577474E-2</v>
      </c>
      <c r="O258" s="475"/>
      <c r="P258" s="475"/>
      <c r="Q258" s="475"/>
      <c r="R258" s="475">
        <f t="shared" si="20"/>
        <v>1.351195614236619</v>
      </c>
      <c r="S258" s="475"/>
      <c r="T258" s="475"/>
      <c r="U258" s="475"/>
      <c r="V258" s="475">
        <f t="shared" si="21"/>
        <v>5.8937771844182318</v>
      </c>
      <c r="W258" s="475"/>
      <c r="X258" s="155"/>
      <c r="Y258" s="155"/>
      <c r="Z258" s="155"/>
      <c r="AA258" s="155"/>
      <c r="AB258" s="155"/>
      <c r="AC258" s="48"/>
      <c r="AD258" s="48"/>
      <c r="AE258" s="48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55"/>
    </row>
    <row r="259" spans="1:54" ht="9.75" customHeight="1" x14ac:dyDescent="0.2">
      <c r="A259" s="155"/>
      <c r="B259" s="155"/>
      <c r="C259" s="476" t="s">
        <v>59</v>
      </c>
      <c r="D259" s="476"/>
      <c r="E259" s="476"/>
      <c r="F259" s="476"/>
      <c r="G259" s="476"/>
      <c r="H259" s="475">
        <f t="shared" si="16"/>
        <v>6.6670836228780539</v>
      </c>
      <c r="I259" s="475"/>
      <c r="J259" s="475">
        <f t="shared" si="17"/>
        <v>0</v>
      </c>
      <c r="K259" s="475"/>
      <c r="L259" s="475">
        <f t="shared" si="18"/>
        <v>0</v>
      </c>
      <c r="M259" s="475"/>
      <c r="N259" s="475">
        <f t="shared" si="19"/>
        <v>0.21406690140845072</v>
      </c>
      <c r="O259" s="475"/>
      <c r="P259" s="475"/>
      <c r="Q259" s="475"/>
      <c r="R259" s="475">
        <f t="shared" si="20"/>
        <v>2.955740406142604</v>
      </c>
      <c r="S259" s="475"/>
      <c r="T259" s="475"/>
      <c r="U259" s="475"/>
      <c r="V259" s="475">
        <f t="shared" si="21"/>
        <v>9.8368909304291083</v>
      </c>
      <c r="W259" s="475"/>
      <c r="X259" s="155"/>
      <c r="Y259" s="155"/>
      <c r="Z259" s="155"/>
      <c r="AA259" s="155"/>
      <c r="AB259" s="155"/>
      <c r="AC259" s="48"/>
      <c r="AD259" s="48"/>
      <c r="AE259" s="48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55"/>
    </row>
    <row r="260" spans="1:54" ht="9.75" customHeight="1" x14ac:dyDescent="0.2">
      <c r="A260" s="155"/>
      <c r="B260" s="155"/>
      <c r="C260" s="474" t="s">
        <v>490</v>
      </c>
      <c r="D260" s="474"/>
      <c r="E260" s="474"/>
      <c r="F260" s="474"/>
      <c r="G260" s="474"/>
      <c r="H260" s="475">
        <f t="shared" si="16"/>
        <v>6.6670836228780539</v>
      </c>
      <c r="I260" s="475"/>
      <c r="J260" s="475">
        <f t="shared" si="17"/>
        <v>0</v>
      </c>
      <c r="K260" s="475"/>
      <c r="L260" s="475">
        <f t="shared" si="18"/>
        <v>0</v>
      </c>
      <c r="M260" s="475"/>
      <c r="N260" s="475">
        <f t="shared" si="19"/>
        <v>0.16513732394366201</v>
      </c>
      <c r="O260" s="475"/>
      <c r="P260" s="475"/>
      <c r="Q260" s="475"/>
      <c r="R260" s="475">
        <f t="shared" si="20"/>
        <v>2.2801425990242947</v>
      </c>
      <c r="S260" s="475"/>
      <c r="T260" s="475"/>
      <c r="U260" s="475"/>
      <c r="V260" s="475">
        <f t="shared" si="21"/>
        <v>9.1123635458460104</v>
      </c>
      <c r="W260" s="475"/>
      <c r="X260" s="155"/>
      <c r="Y260" s="155"/>
      <c r="Z260" s="155"/>
      <c r="AA260" s="155"/>
      <c r="AB260" s="155"/>
      <c r="AC260" s="48"/>
      <c r="AD260" s="48"/>
      <c r="AE260" s="48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55"/>
    </row>
    <row r="261" spans="1:54" ht="9.75" customHeight="1" x14ac:dyDescent="0.2">
      <c r="A261" s="155"/>
      <c r="B261" s="155"/>
      <c r="C261" s="476" t="s">
        <v>94</v>
      </c>
      <c r="D261" s="476"/>
      <c r="E261" s="476"/>
      <c r="F261" s="476"/>
      <c r="G261" s="476"/>
      <c r="H261" s="475">
        <f t="shared" si="16"/>
        <v>6.6670836228780539</v>
      </c>
      <c r="I261" s="475"/>
      <c r="J261" s="475">
        <f t="shared" si="17"/>
        <v>4.4447224152520359</v>
      </c>
      <c r="K261" s="475"/>
      <c r="L261" s="475">
        <f t="shared" si="18"/>
        <v>0.64457746478873246</v>
      </c>
      <c r="M261" s="475"/>
      <c r="N261" s="475">
        <f t="shared" si="19"/>
        <v>6.1161971830985921E-2</v>
      </c>
      <c r="O261" s="475"/>
      <c r="P261" s="475"/>
      <c r="Q261" s="475"/>
      <c r="R261" s="475">
        <f t="shared" si="20"/>
        <v>0.84449725889788685</v>
      </c>
      <c r="S261" s="475"/>
      <c r="T261" s="475"/>
      <c r="U261" s="475"/>
      <c r="V261" s="475">
        <f t="shared" si="21"/>
        <v>12.662042733647695</v>
      </c>
      <c r="W261" s="475"/>
      <c r="X261" s="155"/>
      <c r="Y261" s="155"/>
      <c r="Z261" s="155"/>
      <c r="AA261" s="155"/>
      <c r="AB261" s="155"/>
      <c r="AC261" s="48"/>
      <c r="AD261" s="48"/>
      <c r="AE261" s="48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55"/>
    </row>
    <row r="262" spans="1:54" ht="9.75" customHeight="1" x14ac:dyDescent="0.2">
      <c r="A262" s="155"/>
      <c r="B262" s="155"/>
      <c r="C262" s="155"/>
      <c r="D262" s="155"/>
      <c r="E262" s="155"/>
      <c r="F262" s="155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55"/>
      <c r="X262" s="155"/>
      <c r="Y262" s="155"/>
      <c r="Z262" s="155"/>
      <c r="AA262" s="155"/>
      <c r="AB262" s="155"/>
      <c r="AC262" s="48"/>
      <c r="AD262" s="48"/>
      <c r="AE262" s="48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55"/>
    </row>
    <row r="263" spans="1:54" ht="9.75" customHeight="1" x14ac:dyDescent="0.2">
      <c r="A263" s="155"/>
      <c r="B263" s="155"/>
      <c r="C263" s="155" t="s">
        <v>116</v>
      </c>
      <c r="D263" s="155"/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55"/>
      <c r="R263" s="155"/>
      <c r="S263" s="155"/>
      <c r="T263" s="155"/>
      <c r="U263" s="155"/>
      <c r="V263" s="155"/>
      <c r="W263" s="155"/>
      <c r="X263" s="155"/>
      <c r="Y263" s="155"/>
      <c r="Z263" s="155"/>
      <c r="AA263" s="155"/>
      <c r="AB263" s="155"/>
      <c r="AC263" s="48"/>
      <c r="AD263" s="48"/>
      <c r="AE263" s="48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55"/>
    </row>
    <row r="264" spans="1:54" ht="9.75" customHeight="1" x14ac:dyDescent="0.2">
      <c r="A264" s="155"/>
      <c r="B264" s="155"/>
      <c r="C264" s="474" t="s">
        <v>494</v>
      </c>
      <c r="D264" s="474"/>
      <c r="E264" s="474"/>
      <c r="F264" s="474"/>
      <c r="G264" s="474"/>
      <c r="H264" s="475" t="s">
        <v>463</v>
      </c>
      <c r="I264" s="475"/>
      <c r="J264" s="475" t="s">
        <v>506</v>
      </c>
      <c r="K264" s="475"/>
      <c r="L264" s="475" t="s">
        <v>507</v>
      </c>
      <c r="M264" s="475"/>
      <c r="N264" s="475" t="s">
        <v>508</v>
      </c>
      <c r="O264" s="475"/>
      <c r="P264" s="474"/>
      <c r="Q264" s="474"/>
      <c r="R264" s="475" t="s">
        <v>500</v>
      </c>
      <c r="S264" s="475"/>
      <c r="T264" s="475"/>
      <c r="U264" s="475"/>
      <c r="V264" s="475"/>
      <c r="W264" s="475"/>
      <c r="X264" s="155"/>
      <c r="Y264" s="155"/>
      <c r="Z264" s="155"/>
      <c r="AA264" s="155"/>
      <c r="AB264" s="155"/>
      <c r="AC264" s="48"/>
      <c r="AD264" s="48"/>
      <c r="AE264" s="48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55"/>
    </row>
    <row r="265" spans="1:54" ht="9.75" customHeight="1" x14ac:dyDescent="0.2">
      <c r="A265" s="155"/>
      <c r="B265" s="155"/>
      <c r="C265" s="477" t="s">
        <v>53</v>
      </c>
      <c r="D265" s="477"/>
      <c r="E265" s="477"/>
      <c r="F265" s="477"/>
      <c r="G265" s="477"/>
      <c r="H265" s="478" t="s">
        <v>41</v>
      </c>
      <c r="I265" s="478"/>
      <c r="J265" s="478" t="s">
        <v>510</v>
      </c>
      <c r="K265" s="478"/>
      <c r="L265" s="478" t="s">
        <v>93</v>
      </c>
      <c r="M265" s="478"/>
      <c r="N265" s="478" t="s">
        <v>30</v>
      </c>
      <c r="O265" s="478"/>
      <c r="P265" s="478"/>
      <c r="Q265" s="478"/>
      <c r="R265" s="479" t="s">
        <v>509</v>
      </c>
      <c r="S265" s="480"/>
      <c r="T265" s="481"/>
      <c r="U265" s="481"/>
      <c r="V265" s="482" t="s">
        <v>515</v>
      </c>
      <c r="W265" s="483"/>
      <c r="X265" s="155"/>
      <c r="Y265" s="155"/>
      <c r="Z265" s="155"/>
      <c r="AA265" s="155"/>
      <c r="AB265" s="155"/>
      <c r="AC265" s="48"/>
      <c r="AD265" s="48"/>
      <c r="AE265" s="48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55"/>
    </row>
    <row r="266" spans="1:54" ht="9.75" customHeight="1" x14ac:dyDescent="0.2">
      <c r="A266" s="155"/>
      <c r="B266" s="155"/>
      <c r="C266" s="474" t="s">
        <v>504</v>
      </c>
      <c r="D266" s="474"/>
      <c r="E266" s="474"/>
      <c r="F266" s="474"/>
      <c r="G266" s="474"/>
      <c r="H266" s="484">
        <f>Z213</f>
        <v>5.9262965536693812</v>
      </c>
      <c r="I266" s="485"/>
      <c r="J266" s="475">
        <f>Z214</f>
        <v>3.3115638913261543</v>
      </c>
      <c r="K266" s="475"/>
      <c r="L266" s="475">
        <f>Z211</f>
        <v>1.8692746478873241</v>
      </c>
      <c r="M266" s="475"/>
      <c r="N266" s="475">
        <f>Z210</f>
        <v>0.7094788732394367</v>
      </c>
      <c r="O266" s="475"/>
      <c r="P266" s="475"/>
      <c r="Q266" s="474"/>
      <c r="R266" s="475">
        <f>Z212</f>
        <v>3.3779890355915474</v>
      </c>
      <c r="S266" s="475"/>
      <c r="T266" s="475"/>
      <c r="U266" s="475"/>
      <c r="V266" s="475"/>
      <c r="W266" s="475"/>
      <c r="X266" s="155"/>
      <c r="Y266" s="155"/>
      <c r="Z266" s="155"/>
      <c r="AA266" s="155"/>
      <c r="AB266" s="155"/>
      <c r="AC266" s="48"/>
      <c r="AD266" s="48"/>
      <c r="AE266" s="48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55"/>
    </row>
    <row r="267" spans="1:54" ht="9.75" customHeight="1" x14ac:dyDescent="0.2">
      <c r="A267" s="155"/>
      <c r="B267" s="155"/>
      <c r="C267" s="476" t="s">
        <v>491</v>
      </c>
      <c r="D267" s="476"/>
      <c r="E267" s="476"/>
      <c r="F267" s="476"/>
      <c r="G267" s="476"/>
      <c r="H267" s="475">
        <f>($Z$213)*N195</f>
        <v>5.9262965536693812</v>
      </c>
      <c r="I267" s="475"/>
      <c r="J267" s="475">
        <f>$Z$213*T195</f>
        <v>0</v>
      </c>
      <c r="K267" s="475"/>
      <c r="L267" s="475">
        <f>$Z$211*T195</f>
        <v>0</v>
      </c>
      <c r="M267" s="475"/>
      <c r="N267" s="475">
        <f>$Z$210*R195</f>
        <v>0.7094788732394367</v>
      </c>
      <c r="O267" s="475"/>
      <c r="P267" s="475"/>
      <c r="Q267" s="475"/>
      <c r="R267" s="475">
        <f>$Z$212*R195</f>
        <v>3.3779890355915474</v>
      </c>
      <c r="S267" s="475"/>
      <c r="T267" s="475"/>
      <c r="U267" s="475"/>
      <c r="V267" s="475">
        <f>SUM(H267:U267)</f>
        <v>10.013764462500365</v>
      </c>
      <c r="W267" s="475"/>
      <c r="X267" s="155"/>
      <c r="Y267" s="155"/>
      <c r="Z267" s="155"/>
      <c r="AA267" s="155"/>
      <c r="AB267" s="155"/>
      <c r="AC267" s="48"/>
      <c r="AD267" s="48"/>
      <c r="AE267" s="48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55"/>
    </row>
    <row r="268" spans="1:54" ht="9.75" customHeight="1" x14ac:dyDescent="0.2">
      <c r="A268" s="155"/>
      <c r="B268" s="155"/>
      <c r="C268" s="474" t="s">
        <v>492</v>
      </c>
      <c r="D268" s="474"/>
      <c r="E268" s="474"/>
      <c r="F268" s="474"/>
      <c r="G268" s="474"/>
      <c r="H268" s="475">
        <f t="shared" ref="H268:H272" si="22">($Z$213)*N196</f>
        <v>5.9262965536693812</v>
      </c>
      <c r="I268" s="475"/>
      <c r="J268" s="475">
        <f t="shared" ref="J268:J272" si="23">$Z$213*T196</f>
        <v>0</v>
      </c>
      <c r="K268" s="475"/>
      <c r="L268" s="475">
        <f t="shared" ref="L268:L272" si="24">$Z$211*T196</f>
        <v>0</v>
      </c>
      <c r="M268" s="475"/>
      <c r="N268" s="475">
        <f t="shared" ref="N268:N272" si="25">$Z$210*R196</f>
        <v>0.92232253521126772</v>
      </c>
      <c r="O268" s="475"/>
      <c r="P268" s="475"/>
      <c r="Q268" s="475"/>
      <c r="R268" s="475">
        <f t="shared" ref="R268:R272" si="26">$Z$212*R196</f>
        <v>4.3913857462690116</v>
      </c>
      <c r="S268" s="475"/>
      <c r="T268" s="475"/>
      <c r="U268" s="475"/>
      <c r="V268" s="475">
        <f t="shared" ref="V268:V272" si="27">SUM(H268:U268)</f>
        <v>11.24000483514966</v>
      </c>
      <c r="W268" s="475"/>
      <c r="X268" s="155"/>
      <c r="Y268" s="155"/>
      <c r="Z268" s="155"/>
      <c r="AA268" s="155"/>
      <c r="AB268" s="155"/>
      <c r="AC268" s="48"/>
      <c r="AD268" s="48"/>
      <c r="AE268" s="48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55"/>
    </row>
    <row r="269" spans="1:54" ht="9.75" customHeight="1" x14ac:dyDescent="0.2">
      <c r="A269" s="155"/>
      <c r="B269" s="155"/>
      <c r="C269" s="474" t="s">
        <v>493</v>
      </c>
      <c r="D269" s="474"/>
      <c r="E269" s="474"/>
      <c r="F269" s="474"/>
      <c r="G269" s="474"/>
      <c r="H269" s="475">
        <f t="shared" si="22"/>
        <v>5.9262965536693812</v>
      </c>
      <c r="I269" s="475"/>
      <c r="J269" s="475">
        <f t="shared" si="23"/>
        <v>0</v>
      </c>
      <c r="K269" s="475"/>
      <c r="L269" s="475">
        <f t="shared" si="24"/>
        <v>0</v>
      </c>
      <c r="M269" s="475"/>
      <c r="N269" s="475">
        <f t="shared" si="25"/>
        <v>0.56758309859154943</v>
      </c>
      <c r="O269" s="475"/>
      <c r="P269" s="475"/>
      <c r="Q269" s="475"/>
      <c r="R269" s="475">
        <f t="shared" si="26"/>
        <v>2.7023912284732381</v>
      </c>
      <c r="S269" s="475"/>
      <c r="T269" s="475"/>
      <c r="U269" s="475"/>
      <c r="V269" s="475">
        <f t="shared" si="27"/>
        <v>9.1962708807341684</v>
      </c>
      <c r="W269" s="475"/>
      <c r="X269" s="155"/>
      <c r="Y269" s="155"/>
      <c r="Z269" s="155"/>
      <c r="AA269" s="155"/>
      <c r="AB269" s="155"/>
      <c r="AC269" s="48"/>
      <c r="AD269" s="48"/>
      <c r="AE269" s="48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55"/>
    </row>
    <row r="270" spans="1:54" ht="9.75" customHeight="1" x14ac:dyDescent="0.2">
      <c r="A270" s="155"/>
      <c r="B270" s="155"/>
      <c r="C270" s="476" t="s">
        <v>59</v>
      </c>
      <c r="D270" s="476"/>
      <c r="E270" s="476"/>
      <c r="F270" s="476"/>
      <c r="G270" s="476"/>
      <c r="H270" s="475">
        <f t="shared" si="22"/>
        <v>8.8894448305040719</v>
      </c>
      <c r="I270" s="475"/>
      <c r="J270" s="475">
        <f t="shared" si="23"/>
        <v>0</v>
      </c>
      <c r="K270" s="475"/>
      <c r="L270" s="475">
        <f t="shared" si="24"/>
        <v>0</v>
      </c>
      <c r="M270" s="475"/>
      <c r="N270" s="475">
        <f t="shared" si="25"/>
        <v>1.2415880281690141</v>
      </c>
      <c r="O270" s="475"/>
      <c r="P270" s="475"/>
      <c r="Q270" s="475"/>
      <c r="R270" s="475">
        <f t="shared" si="26"/>
        <v>5.9114808122852081</v>
      </c>
      <c r="S270" s="475"/>
      <c r="T270" s="475"/>
      <c r="U270" s="475"/>
      <c r="V270" s="475">
        <f t="shared" si="27"/>
        <v>16.042513670958293</v>
      </c>
      <c r="W270" s="475"/>
      <c r="X270" s="155"/>
      <c r="Y270" s="155"/>
      <c r="Z270" s="155"/>
      <c r="AA270" s="155"/>
      <c r="AB270" s="155"/>
      <c r="AC270" s="48"/>
      <c r="AD270" s="48"/>
      <c r="AE270" s="48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55"/>
    </row>
    <row r="271" spans="1:54" ht="9.75" customHeight="1" x14ac:dyDescent="0.2">
      <c r="A271" s="155"/>
      <c r="B271" s="155"/>
      <c r="C271" s="474" t="s">
        <v>490</v>
      </c>
      <c r="D271" s="474"/>
      <c r="E271" s="474"/>
      <c r="F271" s="474"/>
      <c r="G271" s="474"/>
      <c r="H271" s="475">
        <f t="shared" si="22"/>
        <v>8.8894448305040719</v>
      </c>
      <c r="I271" s="475"/>
      <c r="J271" s="475">
        <f t="shared" si="23"/>
        <v>0</v>
      </c>
      <c r="K271" s="475"/>
      <c r="L271" s="475">
        <f t="shared" si="24"/>
        <v>0</v>
      </c>
      <c r="M271" s="475"/>
      <c r="N271" s="475">
        <f t="shared" si="25"/>
        <v>0.9577964788732396</v>
      </c>
      <c r="O271" s="475"/>
      <c r="P271" s="475"/>
      <c r="Q271" s="475"/>
      <c r="R271" s="475">
        <f t="shared" si="26"/>
        <v>4.5602851980485895</v>
      </c>
      <c r="S271" s="475"/>
      <c r="T271" s="475"/>
      <c r="U271" s="475"/>
      <c r="V271" s="475">
        <f t="shared" si="27"/>
        <v>14.407526507425901</v>
      </c>
      <c r="W271" s="475"/>
      <c r="X271" s="155"/>
      <c r="Y271" s="155"/>
      <c r="Z271" s="155"/>
      <c r="AA271" s="155"/>
      <c r="AB271" s="155"/>
      <c r="AC271" s="48"/>
      <c r="AD271" s="48"/>
      <c r="AE271" s="48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55"/>
    </row>
    <row r="272" spans="1:54" ht="9.75" customHeight="1" x14ac:dyDescent="0.2">
      <c r="A272" s="155"/>
      <c r="B272" s="155"/>
      <c r="C272" s="476" t="s">
        <v>94</v>
      </c>
      <c r="D272" s="476"/>
      <c r="E272" s="476"/>
      <c r="F272" s="476"/>
      <c r="G272" s="476"/>
      <c r="H272" s="475">
        <f t="shared" si="22"/>
        <v>8.8894448305040719</v>
      </c>
      <c r="I272" s="475"/>
      <c r="J272" s="475">
        <f t="shared" si="23"/>
        <v>5.9262965536693812</v>
      </c>
      <c r="K272" s="475"/>
      <c r="L272" s="475">
        <f t="shared" si="24"/>
        <v>1.8692746478873241</v>
      </c>
      <c r="M272" s="475"/>
      <c r="N272" s="475">
        <f t="shared" si="25"/>
        <v>0.35473943661971835</v>
      </c>
      <c r="O272" s="475"/>
      <c r="P272" s="475"/>
      <c r="Q272" s="475"/>
      <c r="R272" s="475">
        <f t="shared" si="26"/>
        <v>1.6889945177957737</v>
      </c>
      <c r="S272" s="475"/>
      <c r="T272" s="475"/>
      <c r="U272" s="475"/>
      <c r="V272" s="475">
        <f t="shared" si="27"/>
        <v>18.728749986476267</v>
      </c>
      <c r="W272" s="475"/>
      <c r="X272" s="155"/>
      <c r="Y272" s="155"/>
      <c r="Z272" s="155"/>
      <c r="AA272" s="155"/>
      <c r="AB272" s="155"/>
      <c r="AC272" s="48"/>
      <c r="AD272" s="48"/>
      <c r="AE272" s="48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55"/>
    </row>
    <row r="273" spans="1:54" ht="9.75" customHeight="1" x14ac:dyDescent="0.2">
      <c r="A273" s="155"/>
      <c r="B273" s="155"/>
      <c r="C273" s="155"/>
      <c r="D273" s="155"/>
      <c r="E273" s="155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55"/>
      <c r="S273" s="155"/>
      <c r="T273" s="155"/>
      <c r="U273" s="155"/>
      <c r="V273" s="155"/>
      <c r="W273" s="155"/>
      <c r="X273" s="155"/>
      <c r="Y273" s="155"/>
      <c r="Z273" s="155"/>
      <c r="AA273" s="155"/>
      <c r="AB273" s="155"/>
      <c r="AC273" s="48"/>
      <c r="AD273" s="48"/>
      <c r="AE273" s="48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55"/>
    </row>
    <row r="274" spans="1:54" ht="9.75" customHeight="1" x14ac:dyDescent="0.2">
      <c r="A274" s="155"/>
      <c r="B274" s="155"/>
      <c r="C274" s="155"/>
      <c r="D274" s="155"/>
      <c r="E274" s="155"/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5"/>
      <c r="X274" s="155"/>
      <c r="Y274" s="155"/>
      <c r="Z274" s="155"/>
      <c r="AA274" s="155"/>
      <c r="AB274" s="155"/>
      <c r="AC274" s="48"/>
      <c r="AD274" s="48"/>
      <c r="AE274" s="48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55"/>
    </row>
    <row r="275" spans="1:54" ht="9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8"/>
      <c r="AD275" s="48"/>
      <c r="AE275" s="48"/>
      <c r="AF275" s="48"/>
      <c r="AG275" s="48"/>
      <c r="AH275" s="48"/>
      <c r="AI275" s="48"/>
      <c r="AJ275" s="48"/>
      <c r="AK275" s="48"/>
      <c r="AL275" s="12"/>
      <c r="AM275" s="48"/>
      <c r="AN275" s="48"/>
      <c r="AO275" s="48"/>
      <c r="AP275" s="12"/>
      <c r="AQ275" s="48"/>
      <c r="AR275" s="48"/>
      <c r="AS275" s="48"/>
      <c r="AT275" s="12"/>
      <c r="AU275" s="48"/>
      <c r="AV275" s="48"/>
      <c r="AW275" s="48"/>
      <c r="AX275" s="12"/>
      <c r="AY275" s="48"/>
      <c r="AZ275" s="48"/>
      <c r="BA275" s="48"/>
      <c r="BB275" s="4"/>
    </row>
  </sheetData>
  <mergeCells count="878">
    <mergeCell ref="G42:H42"/>
    <mergeCell ref="O44:R44"/>
    <mergeCell ref="U25:W25"/>
    <mergeCell ref="R53:S53"/>
    <mergeCell ref="R54:S54"/>
    <mergeCell ref="R55:S55"/>
    <mergeCell ref="R56:S56"/>
    <mergeCell ref="R176:T176"/>
    <mergeCell ref="U176:W176"/>
    <mergeCell ref="S42:T42"/>
    <mergeCell ref="J40:L40"/>
    <mergeCell ref="J38:L38"/>
    <mergeCell ref="F176:H176"/>
    <mergeCell ref="I176:K176"/>
    <mergeCell ref="L176:N176"/>
    <mergeCell ref="O176:Q176"/>
    <mergeCell ref="R174:T174"/>
    <mergeCell ref="U174:W174"/>
    <mergeCell ref="U173:W173"/>
    <mergeCell ref="R165:T165"/>
    <mergeCell ref="U165:W165"/>
    <mergeCell ref="U164:W164"/>
    <mergeCell ref="R161:T161"/>
    <mergeCell ref="U161:W161"/>
    <mergeCell ref="C255:G255"/>
    <mergeCell ref="H255:I255"/>
    <mergeCell ref="J255:K255"/>
    <mergeCell ref="L255:M255"/>
    <mergeCell ref="N255:O255"/>
    <mergeCell ref="P255:Q255"/>
    <mergeCell ref="R255:S255"/>
    <mergeCell ref="T255:U255"/>
    <mergeCell ref="V255:W255"/>
    <mergeCell ref="C229:G229"/>
    <mergeCell ref="H229:I229"/>
    <mergeCell ref="J229:K229"/>
    <mergeCell ref="L229:M229"/>
    <mergeCell ref="N229:O229"/>
    <mergeCell ref="P229:Q229"/>
    <mergeCell ref="R229:S229"/>
    <mergeCell ref="T229:U229"/>
    <mergeCell ref="V229:W229"/>
    <mergeCell ref="C222:E222"/>
    <mergeCell ref="F222:H222"/>
    <mergeCell ref="I222:K222"/>
    <mergeCell ref="L222:N222"/>
    <mergeCell ref="Q222:S222"/>
    <mergeCell ref="T222:V222"/>
    <mergeCell ref="W222:Y222"/>
    <mergeCell ref="Z222:AB222"/>
    <mergeCell ref="C223:E223"/>
    <mergeCell ref="F223:H223"/>
    <mergeCell ref="I223:K223"/>
    <mergeCell ref="L223:N223"/>
    <mergeCell ref="Q223:S223"/>
    <mergeCell ref="T223:V223"/>
    <mergeCell ref="W223:Y223"/>
    <mergeCell ref="Z223:AB223"/>
    <mergeCell ref="C220:E220"/>
    <mergeCell ref="F220:H220"/>
    <mergeCell ref="I220:K220"/>
    <mergeCell ref="L220:N220"/>
    <mergeCell ref="Q220:S220"/>
    <mergeCell ref="T220:V220"/>
    <mergeCell ref="W220:Y220"/>
    <mergeCell ref="Z220:AB220"/>
    <mergeCell ref="C221:E221"/>
    <mergeCell ref="F221:H221"/>
    <mergeCell ref="I221:K221"/>
    <mergeCell ref="L221:N221"/>
    <mergeCell ref="Q221:S221"/>
    <mergeCell ref="T221:V221"/>
    <mergeCell ref="W221:Y221"/>
    <mergeCell ref="Z221:AB221"/>
    <mergeCell ref="C218:E218"/>
    <mergeCell ref="F218:H218"/>
    <mergeCell ref="I218:K218"/>
    <mergeCell ref="L218:N218"/>
    <mergeCell ref="Q218:S218"/>
    <mergeCell ref="T218:V218"/>
    <mergeCell ref="W218:Y218"/>
    <mergeCell ref="Z218:AB218"/>
    <mergeCell ref="C219:E219"/>
    <mergeCell ref="F219:H219"/>
    <mergeCell ref="I219:K219"/>
    <mergeCell ref="L219:N219"/>
    <mergeCell ref="Q219:S219"/>
    <mergeCell ref="T219:V219"/>
    <mergeCell ref="W219:Y219"/>
    <mergeCell ref="Z219:AB219"/>
    <mergeCell ref="C216:E216"/>
    <mergeCell ref="F216:H216"/>
    <mergeCell ref="I216:K216"/>
    <mergeCell ref="L216:N216"/>
    <mergeCell ref="Q216:S216"/>
    <mergeCell ref="T216:V216"/>
    <mergeCell ref="W216:Y216"/>
    <mergeCell ref="Z216:AB216"/>
    <mergeCell ref="C217:E217"/>
    <mergeCell ref="F217:H217"/>
    <mergeCell ref="I217:K217"/>
    <mergeCell ref="L217:N217"/>
    <mergeCell ref="Q217:S217"/>
    <mergeCell ref="T217:V217"/>
    <mergeCell ref="W217:Y217"/>
    <mergeCell ref="Z217:AB217"/>
    <mergeCell ref="C214:E214"/>
    <mergeCell ref="F214:H214"/>
    <mergeCell ref="I214:K214"/>
    <mergeCell ref="L214:N214"/>
    <mergeCell ref="Q214:S214"/>
    <mergeCell ref="T214:V214"/>
    <mergeCell ref="W214:Y214"/>
    <mergeCell ref="Z214:AB214"/>
    <mergeCell ref="C215:E215"/>
    <mergeCell ref="F215:H215"/>
    <mergeCell ref="I215:K215"/>
    <mergeCell ref="L215:N215"/>
    <mergeCell ref="Q215:S215"/>
    <mergeCell ref="T215:V215"/>
    <mergeCell ref="W215:Y215"/>
    <mergeCell ref="Z215:AB215"/>
    <mergeCell ref="C212:E212"/>
    <mergeCell ref="F212:H212"/>
    <mergeCell ref="I212:K212"/>
    <mergeCell ref="L212:N212"/>
    <mergeCell ref="Q212:S212"/>
    <mergeCell ref="T212:V212"/>
    <mergeCell ref="W212:Y212"/>
    <mergeCell ref="Z212:AB212"/>
    <mergeCell ref="C213:E213"/>
    <mergeCell ref="F213:H213"/>
    <mergeCell ref="I213:K213"/>
    <mergeCell ref="L213:N213"/>
    <mergeCell ref="Q213:S213"/>
    <mergeCell ref="T213:V213"/>
    <mergeCell ref="W213:Y213"/>
    <mergeCell ref="Z213:AB213"/>
    <mergeCell ref="C210:E210"/>
    <mergeCell ref="F210:H210"/>
    <mergeCell ref="I210:K210"/>
    <mergeCell ref="L210:N210"/>
    <mergeCell ref="Q210:S210"/>
    <mergeCell ref="T210:V210"/>
    <mergeCell ref="W210:Y210"/>
    <mergeCell ref="Z210:AB210"/>
    <mergeCell ref="C211:E211"/>
    <mergeCell ref="F211:H211"/>
    <mergeCell ref="I211:K211"/>
    <mergeCell ref="L211:N211"/>
    <mergeCell ref="Q211:S211"/>
    <mergeCell ref="T211:V211"/>
    <mergeCell ref="W211:Y211"/>
    <mergeCell ref="Z211:AB211"/>
    <mergeCell ref="C208:E209"/>
    <mergeCell ref="F208:H208"/>
    <mergeCell ref="I208:K208"/>
    <mergeCell ref="L208:N208"/>
    <mergeCell ref="Q208:S209"/>
    <mergeCell ref="T208:V208"/>
    <mergeCell ref="W208:Y208"/>
    <mergeCell ref="Z208:AB208"/>
    <mergeCell ref="F209:H209"/>
    <mergeCell ref="I209:K209"/>
    <mergeCell ref="L209:N209"/>
    <mergeCell ref="T209:V209"/>
    <mergeCell ref="W209:Y209"/>
    <mergeCell ref="Z209:AB209"/>
    <mergeCell ref="C189:G189"/>
    <mergeCell ref="H189:I189"/>
    <mergeCell ref="J189:K189"/>
    <mergeCell ref="L189:M189"/>
    <mergeCell ref="N189:O189"/>
    <mergeCell ref="P189:Q189"/>
    <mergeCell ref="R189:S189"/>
    <mergeCell ref="T189:U189"/>
    <mergeCell ref="V189:W189"/>
    <mergeCell ref="C188:G188"/>
    <mergeCell ref="H188:I188"/>
    <mergeCell ref="J188:K188"/>
    <mergeCell ref="L188:M188"/>
    <mergeCell ref="N188:O188"/>
    <mergeCell ref="P188:Q188"/>
    <mergeCell ref="R188:S188"/>
    <mergeCell ref="T188:U188"/>
    <mergeCell ref="V188:W188"/>
    <mergeCell ref="C187:G187"/>
    <mergeCell ref="H187:I187"/>
    <mergeCell ref="J187:K187"/>
    <mergeCell ref="L187:M187"/>
    <mergeCell ref="N187:O187"/>
    <mergeCell ref="P187:Q187"/>
    <mergeCell ref="R187:S187"/>
    <mergeCell ref="T187:U187"/>
    <mergeCell ref="V187:W187"/>
    <mergeCell ref="C186:G186"/>
    <mergeCell ref="H186:I186"/>
    <mergeCell ref="J186:K186"/>
    <mergeCell ref="L186:M186"/>
    <mergeCell ref="N186:O186"/>
    <mergeCell ref="P186:Q186"/>
    <mergeCell ref="R186:S186"/>
    <mergeCell ref="T186:U186"/>
    <mergeCell ref="V186:W186"/>
    <mergeCell ref="C185:G185"/>
    <mergeCell ref="H185:I185"/>
    <mergeCell ref="J185:K185"/>
    <mergeCell ref="L185:M185"/>
    <mergeCell ref="N185:O185"/>
    <mergeCell ref="P185:Q185"/>
    <mergeCell ref="R185:S185"/>
    <mergeCell ref="T185:U185"/>
    <mergeCell ref="V185:W185"/>
    <mergeCell ref="C184:G184"/>
    <mergeCell ref="H184:I184"/>
    <mergeCell ref="J184:K184"/>
    <mergeCell ref="L184:M184"/>
    <mergeCell ref="N184:O184"/>
    <mergeCell ref="P184:Q184"/>
    <mergeCell ref="R184:S184"/>
    <mergeCell ref="T184:U184"/>
    <mergeCell ref="V184:W184"/>
    <mergeCell ref="C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C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C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C177:E177"/>
    <mergeCell ref="F177:H177"/>
    <mergeCell ref="I177:K177"/>
    <mergeCell ref="L177:N177"/>
    <mergeCell ref="O177:Q177"/>
    <mergeCell ref="R177:T177"/>
    <mergeCell ref="U177:W177"/>
    <mergeCell ref="C175:E175"/>
    <mergeCell ref="F175:H175"/>
    <mergeCell ref="C176:E176"/>
    <mergeCell ref="U175:W175"/>
    <mergeCell ref="C173:E173"/>
    <mergeCell ref="F173:H173"/>
    <mergeCell ref="I173:K173"/>
    <mergeCell ref="L173:N173"/>
    <mergeCell ref="O173:Q173"/>
    <mergeCell ref="R173:T173"/>
    <mergeCell ref="I175:K175"/>
    <mergeCell ref="L175:N175"/>
    <mergeCell ref="O175:Q175"/>
    <mergeCell ref="R175:T175"/>
    <mergeCell ref="C174:E174"/>
    <mergeCell ref="F174:H174"/>
    <mergeCell ref="I174:K174"/>
    <mergeCell ref="L174:N174"/>
    <mergeCell ref="O174:Q174"/>
    <mergeCell ref="C171:E172"/>
    <mergeCell ref="F171:H171"/>
    <mergeCell ref="I171:K171"/>
    <mergeCell ref="L171:N171"/>
    <mergeCell ref="O171:Q171"/>
    <mergeCell ref="R171:T171"/>
    <mergeCell ref="U171:W171"/>
    <mergeCell ref="F172:H172"/>
    <mergeCell ref="I172:K172"/>
    <mergeCell ref="L172:N172"/>
    <mergeCell ref="O172:Q172"/>
    <mergeCell ref="R172:T172"/>
    <mergeCell ref="U172:W172"/>
    <mergeCell ref="C167:E167"/>
    <mergeCell ref="F167:H167"/>
    <mergeCell ref="I167:K167"/>
    <mergeCell ref="L167:N167"/>
    <mergeCell ref="O167:Q167"/>
    <mergeCell ref="R167:T167"/>
    <mergeCell ref="U167:W167"/>
    <mergeCell ref="C166:E166"/>
    <mergeCell ref="F166:H166"/>
    <mergeCell ref="U166:W166"/>
    <mergeCell ref="C164:E164"/>
    <mergeCell ref="F164:H164"/>
    <mergeCell ref="I164:K164"/>
    <mergeCell ref="L164:N164"/>
    <mergeCell ref="O164:Q164"/>
    <mergeCell ref="R164:T164"/>
    <mergeCell ref="I166:K166"/>
    <mergeCell ref="L166:N166"/>
    <mergeCell ref="O166:Q166"/>
    <mergeCell ref="R166:T166"/>
    <mergeCell ref="C165:E165"/>
    <mergeCell ref="F165:H165"/>
    <mergeCell ref="I165:K165"/>
    <mergeCell ref="L165:N165"/>
    <mergeCell ref="O165:Q165"/>
    <mergeCell ref="C163:E163"/>
    <mergeCell ref="F163:H163"/>
    <mergeCell ref="I163:K163"/>
    <mergeCell ref="L163:N163"/>
    <mergeCell ref="O163:Q163"/>
    <mergeCell ref="R163:T163"/>
    <mergeCell ref="U163:W163"/>
    <mergeCell ref="C162:E162"/>
    <mergeCell ref="F162:H162"/>
    <mergeCell ref="U160:W160"/>
    <mergeCell ref="C161:E161"/>
    <mergeCell ref="F161:H161"/>
    <mergeCell ref="I161:K161"/>
    <mergeCell ref="L161:N161"/>
    <mergeCell ref="O161:Q161"/>
    <mergeCell ref="U162:W162"/>
    <mergeCell ref="L154:M154"/>
    <mergeCell ref="N154:O154"/>
    <mergeCell ref="Q154:R154"/>
    <mergeCell ref="C160:E160"/>
    <mergeCell ref="F160:H160"/>
    <mergeCell ref="I160:K160"/>
    <mergeCell ref="L160:N160"/>
    <mergeCell ref="O160:Q160"/>
    <mergeCell ref="R160:T160"/>
    <mergeCell ref="I162:K162"/>
    <mergeCell ref="L162:N162"/>
    <mergeCell ref="O162:Q162"/>
    <mergeCell ref="R162:T162"/>
    <mergeCell ref="X154:Y154"/>
    <mergeCell ref="C158:E159"/>
    <mergeCell ref="F158:H158"/>
    <mergeCell ref="I158:K158"/>
    <mergeCell ref="L158:N158"/>
    <mergeCell ref="O158:Q158"/>
    <mergeCell ref="R158:T158"/>
    <mergeCell ref="U158:W158"/>
    <mergeCell ref="F159:H159"/>
    <mergeCell ref="I159:K159"/>
    <mergeCell ref="L159:N159"/>
    <mergeCell ref="O159:Q159"/>
    <mergeCell ref="R159:T159"/>
    <mergeCell ref="U159:W159"/>
    <mergeCell ref="W144:X144"/>
    <mergeCell ref="E145:F145"/>
    <mergeCell ref="E146:F146"/>
    <mergeCell ref="E147:F147"/>
    <mergeCell ref="S147:T147"/>
    <mergeCell ref="H150:I150"/>
    <mergeCell ref="J150:K150"/>
    <mergeCell ref="M150:N150"/>
    <mergeCell ref="H152:I152"/>
    <mergeCell ref="J152:K152"/>
    <mergeCell ref="L152:M152"/>
    <mergeCell ref="O152:P152"/>
    <mergeCell ref="X152:Y152"/>
    <mergeCell ref="U135:V135"/>
    <mergeCell ref="U136:V136"/>
    <mergeCell ref="U137:V137"/>
    <mergeCell ref="U138:V138"/>
    <mergeCell ref="U139:V139"/>
    <mergeCell ref="E141:F141"/>
    <mergeCell ref="E144:F144"/>
    <mergeCell ref="M144:N144"/>
    <mergeCell ref="O144:P144"/>
    <mergeCell ref="Q144:R144"/>
    <mergeCell ref="S144:T144"/>
    <mergeCell ref="E120:F120"/>
    <mergeCell ref="S120:T120"/>
    <mergeCell ref="M123:N123"/>
    <mergeCell ref="M124:N124"/>
    <mergeCell ref="E127:F127"/>
    <mergeCell ref="E128:F128"/>
    <mergeCell ref="E130:R130"/>
    <mergeCell ref="O131:T131"/>
    <mergeCell ref="O132:T132"/>
    <mergeCell ref="U113:V113"/>
    <mergeCell ref="U114:V114"/>
    <mergeCell ref="E116:F116"/>
    <mergeCell ref="E119:F119"/>
    <mergeCell ref="K119:L119"/>
    <mergeCell ref="M119:N119"/>
    <mergeCell ref="O119:P119"/>
    <mergeCell ref="Q119:R119"/>
    <mergeCell ref="T119:U119"/>
    <mergeCell ref="E99:F99"/>
    <mergeCell ref="L99:M99"/>
    <mergeCell ref="E102:F102"/>
    <mergeCell ref="L102:M102"/>
    <mergeCell ref="E106:R106"/>
    <mergeCell ref="L107:Q107"/>
    <mergeCell ref="L108:Q108"/>
    <mergeCell ref="U111:V111"/>
    <mergeCell ref="U112:V112"/>
    <mergeCell ref="E90:F90"/>
    <mergeCell ref="L90:M90"/>
    <mergeCell ref="E93:F93"/>
    <mergeCell ref="L93:M93"/>
    <mergeCell ref="Y48:Z48"/>
    <mergeCell ref="Y49:Z49"/>
    <mergeCell ref="E96:F96"/>
    <mergeCell ref="L96:M96"/>
    <mergeCell ref="AG96:AH96"/>
    <mergeCell ref="K64:L64"/>
    <mergeCell ref="R57:S57"/>
    <mergeCell ref="R58:S58"/>
    <mergeCell ref="R48:S48"/>
    <mergeCell ref="R49:S49"/>
    <mergeCell ref="R50:S50"/>
    <mergeCell ref="R51:S51"/>
    <mergeCell ref="R52:S52"/>
    <mergeCell ref="E87:F87"/>
    <mergeCell ref="L87:M87"/>
    <mergeCell ref="X37:Y37"/>
    <mergeCell ref="J42:L42"/>
    <mergeCell ref="X38:Y39"/>
    <mergeCell ref="U41:V41"/>
    <mergeCell ref="Q42:R42"/>
    <mergeCell ref="AI37:AJ37"/>
    <mergeCell ref="N42:O42"/>
    <mergeCell ref="S34:T34"/>
    <mergeCell ref="P36:Q36"/>
    <mergeCell ref="AJ35:AK35"/>
    <mergeCell ref="P25:Q25"/>
    <mergeCell ref="R16:T16"/>
    <mergeCell ref="U16:W16"/>
    <mergeCell ref="R17:T17"/>
    <mergeCell ref="U17:W17"/>
    <mergeCell ref="R18:T18"/>
    <mergeCell ref="U18:W18"/>
    <mergeCell ref="C36:D36"/>
    <mergeCell ref="AA36:AB36"/>
    <mergeCell ref="F29:G29"/>
    <mergeCell ref="J29:K29"/>
    <mergeCell ref="U30:V31"/>
    <mergeCell ref="X32:Y32"/>
    <mergeCell ref="X35:Y35"/>
    <mergeCell ref="R25:S25"/>
    <mergeCell ref="P29:Q29"/>
    <mergeCell ref="AE14:AG14"/>
    <mergeCell ref="AH14:AJ14"/>
    <mergeCell ref="R15:T15"/>
    <mergeCell ref="U15:W15"/>
    <mergeCell ref="O21:Q21"/>
    <mergeCell ref="E22:F22"/>
    <mergeCell ref="V23:W23"/>
    <mergeCell ref="R19:S19"/>
    <mergeCell ref="R20:S20"/>
    <mergeCell ref="R10:T10"/>
    <mergeCell ref="U10:W10"/>
    <mergeCell ref="R11:T11"/>
    <mergeCell ref="U11:W11"/>
    <mergeCell ref="R12:T12"/>
    <mergeCell ref="U12:W12"/>
    <mergeCell ref="R13:T13"/>
    <mergeCell ref="U13:W13"/>
    <mergeCell ref="R14:T14"/>
    <mergeCell ref="U14:W14"/>
    <mergeCell ref="AH6:AJ6"/>
    <mergeCell ref="R7:T7"/>
    <mergeCell ref="U7:W7"/>
    <mergeCell ref="AE7:AG7"/>
    <mergeCell ref="AH7:AJ7"/>
    <mergeCell ref="R8:T8"/>
    <mergeCell ref="U8:W8"/>
    <mergeCell ref="R9:T9"/>
    <mergeCell ref="U9:W9"/>
    <mergeCell ref="A1:AB1"/>
    <mergeCell ref="A2:AB2"/>
    <mergeCell ref="R4:T4"/>
    <mergeCell ref="U4:W4"/>
    <mergeCell ref="R5:T5"/>
    <mergeCell ref="U5:W5"/>
    <mergeCell ref="R6:T6"/>
    <mergeCell ref="U6:W6"/>
    <mergeCell ref="AE6:AG6"/>
    <mergeCell ref="C194:G194"/>
    <mergeCell ref="H194:I194"/>
    <mergeCell ref="J194:K194"/>
    <mergeCell ref="L194:M194"/>
    <mergeCell ref="N194:O194"/>
    <mergeCell ref="P194:Q194"/>
    <mergeCell ref="R194:S194"/>
    <mergeCell ref="T194:U194"/>
    <mergeCell ref="V194:W194"/>
    <mergeCell ref="L198:M198"/>
    <mergeCell ref="N198:O198"/>
    <mergeCell ref="P198:Q198"/>
    <mergeCell ref="R198:S198"/>
    <mergeCell ref="T198:U198"/>
    <mergeCell ref="V198:W198"/>
    <mergeCell ref="C199:G199"/>
    <mergeCell ref="H199:I199"/>
    <mergeCell ref="J199:K199"/>
    <mergeCell ref="L199:M199"/>
    <mergeCell ref="N199:O199"/>
    <mergeCell ref="P199:Q199"/>
    <mergeCell ref="R199:S199"/>
    <mergeCell ref="T199:U199"/>
    <mergeCell ref="V199:W199"/>
    <mergeCell ref="C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C195:G195"/>
    <mergeCell ref="H195:I195"/>
    <mergeCell ref="J195:K195"/>
    <mergeCell ref="L195:M195"/>
    <mergeCell ref="N195:O195"/>
    <mergeCell ref="P195:Q195"/>
    <mergeCell ref="R195:S195"/>
    <mergeCell ref="T195:U195"/>
    <mergeCell ref="V195:W195"/>
    <mergeCell ref="R233:S233"/>
    <mergeCell ref="T233:U233"/>
    <mergeCell ref="V233:W233"/>
    <mergeCell ref="C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C200:G200"/>
    <mergeCell ref="H200:I200"/>
    <mergeCell ref="J200:K200"/>
    <mergeCell ref="L200:M200"/>
    <mergeCell ref="N200:O200"/>
    <mergeCell ref="P200:Q200"/>
    <mergeCell ref="R200:S200"/>
    <mergeCell ref="T200:U200"/>
    <mergeCell ref="V200:W200"/>
    <mergeCell ref="C198:G198"/>
    <mergeCell ref="H198:I198"/>
    <mergeCell ref="J198:K198"/>
    <mergeCell ref="V231:W231"/>
    <mergeCell ref="C232:G232"/>
    <mergeCell ref="H232:I232"/>
    <mergeCell ref="J232:K232"/>
    <mergeCell ref="L232:M232"/>
    <mergeCell ref="N232:O232"/>
    <mergeCell ref="P232:Q232"/>
    <mergeCell ref="R232:S232"/>
    <mergeCell ref="T232:U232"/>
    <mergeCell ref="V232:W232"/>
    <mergeCell ref="C231:G231"/>
    <mergeCell ref="H231:I231"/>
    <mergeCell ref="V234:W234"/>
    <mergeCell ref="C235:G235"/>
    <mergeCell ref="H235:I235"/>
    <mergeCell ref="J235:K235"/>
    <mergeCell ref="L235:M235"/>
    <mergeCell ref="N235:O235"/>
    <mergeCell ref="P235:Q235"/>
    <mergeCell ref="R235:S235"/>
    <mergeCell ref="T235:U235"/>
    <mergeCell ref="V235:W235"/>
    <mergeCell ref="V240:W240"/>
    <mergeCell ref="C230:G230"/>
    <mergeCell ref="H230:I230"/>
    <mergeCell ref="J230:K230"/>
    <mergeCell ref="L230:M230"/>
    <mergeCell ref="N230:O230"/>
    <mergeCell ref="P230:Q230"/>
    <mergeCell ref="R230:S230"/>
    <mergeCell ref="T230:U230"/>
    <mergeCell ref="V230:W230"/>
    <mergeCell ref="C236:G236"/>
    <mergeCell ref="H236:I236"/>
    <mergeCell ref="J236:K236"/>
    <mergeCell ref="L236:M236"/>
    <mergeCell ref="N236:O236"/>
    <mergeCell ref="P236:Q236"/>
    <mergeCell ref="R236:S236"/>
    <mergeCell ref="T236:U236"/>
    <mergeCell ref="V236:W236"/>
    <mergeCell ref="C234:G234"/>
    <mergeCell ref="H234:I234"/>
    <mergeCell ref="J234:K234"/>
    <mergeCell ref="L234:M234"/>
    <mergeCell ref="N234:O234"/>
    <mergeCell ref="H227:I227"/>
    <mergeCell ref="C240:G240"/>
    <mergeCell ref="H240:I240"/>
    <mergeCell ref="J240:K240"/>
    <mergeCell ref="L240:M240"/>
    <mergeCell ref="N240:O240"/>
    <mergeCell ref="P240:Q240"/>
    <mergeCell ref="R240:S240"/>
    <mergeCell ref="T240:U240"/>
    <mergeCell ref="P234:Q234"/>
    <mergeCell ref="R234:S234"/>
    <mergeCell ref="T234:U234"/>
    <mergeCell ref="J231:K231"/>
    <mergeCell ref="L231:M231"/>
    <mergeCell ref="N231:O231"/>
    <mergeCell ref="P231:Q231"/>
    <mergeCell ref="R231:S231"/>
    <mergeCell ref="T231:U231"/>
    <mergeCell ref="C233:G233"/>
    <mergeCell ref="H233:I233"/>
    <mergeCell ref="J233:K233"/>
    <mergeCell ref="L233:M233"/>
    <mergeCell ref="N233:O233"/>
    <mergeCell ref="P233:Q233"/>
    <mergeCell ref="C228:G228"/>
    <mergeCell ref="H228:I228"/>
    <mergeCell ref="J228:K228"/>
    <mergeCell ref="L228:M228"/>
    <mergeCell ref="N228:O228"/>
    <mergeCell ref="P228:Q228"/>
    <mergeCell ref="R228:S228"/>
    <mergeCell ref="T228:U228"/>
    <mergeCell ref="V228:W228"/>
    <mergeCell ref="C242:G242"/>
    <mergeCell ref="H242:I242"/>
    <mergeCell ref="J242:K242"/>
    <mergeCell ref="L242:M242"/>
    <mergeCell ref="N242:O242"/>
    <mergeCell ref="P242:Q242"/>
    <mergeCell ref="R242:S242"/>
    <mergeCell ref="T242:U242"/>
    <mergeCell ref="V242:W242"/>
    <mergeCell ref="C241:G241"/>
    <mergeCell ref="H241:I241"/>
    <mergeCell ref="J241:K241"/>
    <mergeCell ref="L241:M241"/>
    <mergeCell ref="N241:O241"/>
    <mergeCell ref="P241:Q241"/>
    <mergeCell ref="R241:S241"/>
    <mergeCell ref="T241:U241"/>
    <mergeCell ref="V241:W241"/>
    <mergeCell ref="C244:G244"/>
    <mergeCell ref="H244:I244"/>
    <mergeCell ref="J244:K244"/>
    <mergeCell ref="L244:M244"/>
    <mergeCell ref="N244:O244"/>
    <mergeCell ref="P244:Q244"/>
    <mergeCell ref="R244:S244"/>
    <mergeCell ref="T244:U244"/>
    <mergeCell ref="V244:W244"/>
    <mergeCell ref="C243:G243"/>
    <mergeCell ref="H243:I243"/>
    <mergeCell ref="J243:K243"/>
    <mergeCell ref="L243:M243"/>
    <mergeCell ref="N243:O243"/>
    <mergeCell ref="P243:Q243"/>
    <mergeCell ref="R243:S243"/>
    <mergeCell ref="T243:U243"/>
    <mergeCell ref="V243:W243"/>
    <mergeCell ref="C246:G246"/>
    <mergeCell ref="H246:I246"/>
    <mergeCell ref="J246:K246"/>
    <mergeCell ref="L246:M246"/>
    <mergeCell ref="N246:O246"/>
    <mergeCell ref="P246:Q246"/>
    <mergeCell ref="R246:S246"/>
    <mergeCell ref="T246:U246"/>
    <mergeCell ref="V246:W246"/>
    <mergeCell ref="C245:G245"/>
    <mergeCell ref="H245:I245"/>
    <mergeCell ref="J245:K245"/>
    <mergeCell ref="L245:M245"/>
    <mergeCell ref="N245:O245"/>
    <mergeCell ref="P245:Q245"/>
    <mergeCell ref="R245:S245"/>
    <mergeCell ref="T245:U245"/>
    <mergeCell ref="V245:W245"/>
    <mergeCell ref="C248:G248"/>
    <mergeCell ref="H248:I248"/>
    <mergeCell ref="J248:K248"/>
    <mergeCell ref="L248:M248"/>
    <mergeCell ref="N248:O248"/>
    <mergeCell ref="P248:Q248"/>
    <mergeCell ref="R248:S248"/>
    <mergeCell ref="T248:U248"/>
    <mergeCell ref="V248:W248"/>
    <mergeCell ref="C247:G247"/>
    <mergeCell ref="H247:I247"/>
    <mergeCell ref="J247:K247"/>
    <mergeCell ref="L247:M247"/>
    <mergeCell ref="N247:O247"/>
    <mergeCell ref="P247:Q247"/>
    <mergeCell ref="R247:S247"/>
    <mergeCell ref="T247:U247"/>
    <mergeCell ref="V247:W247"/>
    <mergeCell ref="V253:W253"/>
    <mergeCell ref="C254:G254"/>
    <mergeCell ref="H254:I254"/>
    <mergeCell ref="J254:K254"/>
    <mergeCell ref="L254:M254"/>
    <mergeCell ref="N254:O254"/>
    <mergeCell ref="P254:Q254"/>
    <mergeCell ref="R254:S254"/>
    <mergeCell ref="T254:U254"/>
    <mergeCell ref="V254:W254"/>
    <mergeCell ref="C249:G249"/>
    <mergeCell ref="C253:G253"/>
    <mergeCell ref="H253:I253"/>
    <mergeCell ref="J253:K253"/>
    <mergeCell ref="L253:M253"/>
    <mergeCell ref="N253:O253"/>
    <mergeCell ref="P253:Q253"/>
    <mergeCell ref="R253:S253"/>
    <mergeCell ref="T253:U253"/>
    <mergeCell ref="C258:G258"/>
    <mergeCell ref="H258:I258"/>
    <mergeCell ref="J258:K258"/>
    <mergeCell ref="L258:M258"/>
    <mergeCell ref="N258:O258"/>
    <mergeCell ref="P258:Q258"/>
    <mergeCell ref="R258:S258"/>
    <mergeCell ref="T258:U258"/>
    <mergeCell ref="V258:W258"/>
    <mergeCell ref="P256:Q256"/>
    <mergeCell ref="R256:S256"/>
    <mergeCell ref="T256:U256"/>
    <mergeCell ref="V256:W256"/>
    <mergeCell ref="C257:G257"/>
    <mergeCell ref="H257:I257"/>
    <mergeCell ref="J257:K257"/>
    <mergeCell ref="L257:M257"/>
    <mergeCell ref="N257:O257"/>
    <mergeCell ref="P257:Q257"/>
    <mergeCell ref="R257:S257"/>
    <mergeCell ref="T257:U257"/>
    <mergeCell ref="V257:W257"/>
    <mergeCell ref="C256:G256"/>
    <mergeCell ref="H256:I256"/>
    <mergeCell ref="J256:K256"/>
    <mergeCell ref="L256:M256"/>
    <mergeCell ref="N256:O256"/>
    <mergeCell ref="C260:G260"/>
    <mergeCell ref="H260:I260"/>
    <mergeCell ref="J260:K260"/>
    <mergeCell ref="L260:M260"/>
    <mergeCell ref="N260:O260"/>
    <mergeCell ref="P260:Q260"/>
    <mergeCell ref="R260:S260"/>
    <mergeCell ref="T260:U260"/>
    <mergeCell ref="V260:W260"/>
    <mergeCell ref="C259:G259"/>
    <mergeCell ref="H259:I259"/>
    <mergeCell ref="J259:K259"/>
    <mergeCell ref="L259:M259"/>
    <mergeCell ref="N259:O259"/>
    <mergeCell ref="P259:Q259"/>
    <mergeCell ref="R259:S259"/>
    <mergeCell ref="T259:U259"/>
    <mergeCell ref="V259:W259"/>
    <mergeCell ref="X228:Y228"/>
    <mergeCell ref="X229:Y229"/>
    <mergeCell ref="X230:Y230"/>
    <mergeCell ref="X231:Y231"/>
    <mergeCell ref="X232:Y232"/>
    <mergeCell ref="X233:Y233"/>
    <mergeCell ref="X234:Y234"/>
    <mergeCell ref="X235:Y235"/>
    <mergeCell ref="X236:Y236"/>
    <mergeCell ref="C261:G261"/>
    <mergeCell ref="H261:I261"/>
    <mergeCell ref="J261:K261"/>
    <mergeCell ref="L261:M261"/>
    <mergeCell ref="N261:O261"/>
    <mergeCell ref="P261:Q261"/>
    <mergeCell ref="R261:S261"/>
    <mergeCell ref="T261:U261"/>
    <mergeCell ref="V261:W261"/>
    <mergeCell ref="C264:G264"/>
    <mergeCell ref="H264:I264"/>
    <mergeCell ref="J264:K264"/>
    <mergeCell ref="L264:M264"/>
    <mergeCell ref="N264:O264"/>
    <mergeCell ref="P264:Q264"/>
    <mergeCell ref="R264:S264"/>
    <mergeCell ref="T264:U264"/>
    <mergeCell ref="V264:W264"/>
    <mergeCell ref="Z228:AA228"/>
    <mergeCell ref="Z229:AA229"/>
    <mergeCell ref="Z230:AA230"/>
    <mergeCell ref="Z231:AA231"/>
    <mergeCell ref="Z232:AA232"/>
    <mergeCell ref="Z233:AA233"/>
    <mergeCell ref="Z234:AA234"/>
    <mergeCell ref="Z235:AA235"/>
    <mergeCell ref="Z236:AA236"/>
    <mergeCell ref="C266:G266"/>
    <mergeCell ref="H266:I266"/>
    <mergeCell ref="J266:K266"/>
    <mergeCell ref="L266:M266"/>
    <mergeCell ref="N266:O266"/>
    <mergeCell ref="P266:Q266"/>
    <mergeCell ref="R266:S266"/>
    <mergeCell ref="T266:U266"/>
    <mergeCell ref="V266:W266"/>
    <mergeCell ref="C265:G265"/>
    <mergeCell ref="H265:I265"/>
    <mergeCell ref="J265:K265"/>
    <mergeCell ref="L265:M265"/>
    <mergeCell ref="N265:O265"/>
    <mergeCell ref="P265:Q265"/>
    <mergeCell ref="R265:S265"/>
    <mergeCell ref="T265:U265"/>
    <mergeCell ref="V265:W265"/>
    <mergeCell ref="C268:G268"/>
    <mergeCell ref="H268:I268"/>
    <mergeCell ref="J268:K268"/>
    <mergeCell ref="L268:M268"/>
    <mergeCell ref="N268:O268"/>
    <mergeCell ref="P268:Q268"/>
    <mergeCell ref="R268:S268"/>
    <mergeCell ref="T268:U268"/>
    <mergeCell ref="V268:W268"/>
    <mergeCell ref="C267:G267"/>
    <mergeCell ref="H267:I267"/>
    <mergeCell ref="J267:K267"/>
    <mergeCell ref="L267:M267"/>
    <mergeCell ref="N267:O267"/>
    <mergeCell ref="P267:Q267"/>
    <mergeCell ref="R267:S267"/>
    <mergeCell ref="T267:U267"/>
    <mergeCell ref="V267:W267"/>
    <mergeCell ref="C270:G270"/>
    <mergeCell ref="H270:I270"/>
    <mergeCell ref="J270:K270"/>
    <mergeCell ref="L270:M270"/>
    <mergeCell ref="N270:O270"/>
    <mergeCell ref="P270:Q270"/>
    <mergeCell ref="R270:S270"/>
    <mergeCell ref="T270:U270"/>
    <mergeCell ref="V270:W270"/>
    <mergeCell ref="C269:G269"/>
    <mergeCell ref="H269:I269"/>
    <mergeCell ref="J269:K269"/>
    <mergeCell ref="L269:M269"/>
    <mergeCell ref="N269:O269"/>
    <mergeCell ref="P269:Q269"/>
    <mergeCell ref="R269:S269"/>
    <mergeCell ref="T269:U269"/>
    <mergeCell ref="V269:W269"/>
    <mergeCell ref="C272:G272"/>
    <mergeCell ref="H272:I272"/>
    <mergeCell ref="J272:K272"/>
    <mergeCell ref="L272:M272"/>
    <mergeCell ref="N272:O272"/>
    <mergeCell ref="P272:Q272"/>
    <mergeCell ref="R272:S272"/>
    <mergeCell ref="T272:U272"/>
    <mergeCell ref="V272:W272"/>
    <mergeCell ref="C271:G271"/>
    <mergeCell ref="H271:I271"/>
    <mergeCell ref="J271:K271"/>
    <mergeCell ref="L271:M271"/>
    <mergeCell ref="N271:O271"/>
    <mergeCell ref="P271:Q271"/>
    <mergeCell ref="R271:S271"/>
    <mergeCell ref="T271:U271"/>
    <mergeCell ref="V271:W271"/>
  </mergeCells>
  <pageMargins left="0.7" right="0.7" top="1.3149999999999999" bottom="0.75" header="0.3" footer="0.3"/>
  <pageSetup paperSize="9" scale="95" orientation="portrait" horizontalDpi="4294967293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78731" r:id="rId4">
          <objectPr defaultSize="0" autoPict="0" r:id="rId5">
            <anchor moveWithCells="1" sizeWithCells="1">
              <from>
                <xdr:col>19</xdr:col>
                <xdr:colOff>57150</xdr:colOff>
                <xdr:row>147</xdr:row>
                <xdr:rowOff>57150</xdr:rowOff>
              </from>
              <to>
                <xdr:col>27</xdr:col>
                <xdr:colOff>66675</xdr:colOff>
                <xdr:row>150</xdr:row>
                <xdr:rowOff>95250</xdr:rowOff>
              </to>
            </anchor>
          </objectPr>
        </oleObject>
      </mc:Choice>
      <mc:Fallback>
        <oleObject progId="Equation.3" shapeId="207873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16"/>
  <sheetViews>
    <sheetView topLeftCell="A375" workbookViewId="0">
      <selection activeCell="H366" sqref="H366"/>
    </sheetView>
  </sheetViews>
  <sheetFormatPr baseColWidth="10" defaultRowHeight="12.75" x14ac:dyDescent="0.2"/>
  <cols>
    <col min="1" max="1" width="14.42578125" customWidth="1"/>
    <col min="2" max="2" width="15.42578125" customWidth="1"/>
    <col min="3" max="3" width="9.5703125" customWidth="1"/>
    <col min="4" max="4" width="12.140625" customWidth="1"/>
    <col min="5" max="5" width="13.140625" customWidth="1"/>
    <col min="6" max="6" width="12.85546875" customWidth="1"/>
    <col min="7" max="7" width="15.85546875" customWidth="1"/>
    <col min="8" max="8" width="14.7109375" customWidth="1"/>
    <col min="9" max="9" width="11" customWidth="1"/>
    <col min="10" max="10" width="8.85546875" customWidth="1"/>
    <col min="11" max="11" width="9.85546875" customWidth="1"/>
    <col min="13" max="13" width="8.28515625" customWidth="1"/>
    <col min="14" max="14" width="36.5703125" customWidth="1"/>
    <col min="15" max="15" width="11.85546875" customWidth="1"/>
    <col min="16" max="19" width="6.7109375" customWidth="1"/>
    <col min="20" max="20" width="15.85546875" customWidth="1"/>
    <col min="21" max="23" width="6.7109375" hidden="1" customWidth="1"/>
    <col min="24" max="24" width="13.140625" customWidth="1"/>
    <col min="28" max="29" width="12.140625" customWidth="1"/>
    <col min="257" max="257" width="14.42578125" customWidth="1"/>
    <col min="258" max="258" width="15.42578125" customWidth="1"/>
    <col min="259" max="259" width="9.5703125" customWidth="1"/>
    <col min="260" max="260" width="12.140625" customWidth="1"/>
    <col min="261" max="261" width="13.140625" customWidth="1"/>
    <col min="262" max="262" width="12.85546875" customWidth="1"/>
    <col min="263" max="263" width="15.85546875" customWidth="1"/>
    <col min="264" max="264" width="14.7109375" customWidth="1"/>
    <col min="265" max="265" width="11" customWidth="1"/>
    <col min="266" max="266" width="8.85546875" customWidth="1"/>
    <col min="267" max="267" width="9.85546875" customWidth="1"/>
    <col min="269" max="269" width="8.28515625" customWidth="1"/>
    <col min="270" max="270" width="36.5703125" customWidth="1"/>
    <col min="271" max="271" width="11.85546875" customWidth="1"/>
    <col min="272" max="275" width="6.7109375" customWidth="1"/>
    <col min="276" max="276" width="15.85546875" customWidth="1"/>
    <col min="277" max="279" width="0" hidden="1" customWidth="1"/>
    <col min="280" max="280" width="13.140625" customWidth="1"/>
    <col min="284" max="285" width="12.140625" customWidth="1"/>
    <col min="513" max="513" width="14.42578125" customWidth="1"/>
    <col min="514" max="514" width="15.42578125" customWidth="1"/>
    <col min="515" max="515" width="9.5703125" customWidth="1"/>
    <col min="516" max="516" width="12.140625" customWidth="1"/>
    <col min="517" max="517" width="13.140625" customWidth="1"/>
    <col min="518" max="518" width="12.85546875" customWidth="1"/>
    <col min="519" max="519" width="15.85546875" customWidth="1"/>
    <col min="520" max="520" width="14.7109375" customWidth="1"/>
    <col min="521" max="521" width="11" customWidth="1"/>
    <col min="522" max="522" width="8.85546875" customWidth="1"/>
    <col min="523" max="523" width="9.85546875" customWidth="1"/>
    <col min="525" max="525" width="8.28515625" customWidth="1"/>
    <col min="526" max="526" width="36.5703125" customWidth="1"/>
    <col min="527" max="527" width="11.85546875" customWidth="1"/>
    <col min="528" max="531" width="6.7109375" customWidth="1"/>
    <col min="532" max="532" width="15.85546875" customWidth="1"/>
    <col min="533" max="535" width="0" hidden="1" customWidth="1"/>
    <col min="536" max="536" width="13.140625" customWidth="1"/>
    <col min="540" max="541" width="12.140625" customWidth="1"/>
    <col min="769" max="769" width="14.42578125" customWidth="1"/>
    <col min="770" max="770" width="15.42578125" customWidth="1"/>
    <col min="771" max="771" width="9.5703125" customWidth="1"/>
    <col min="772" max="772" width="12.140625" customWidth="1"/>
    <col min="773" max="773" width="13.140625" customWidth="1"/>
    <col min="774" max="774" width="12.85546875" customWidth="1"/>
    <col min="775" max="775" width="15.85546875" customWidth="1"/>
    <col min="776" max="776" width="14.7109375" customWidth="1"/>
    <col min="777" max="777" width="11" customWidth="1"/>
    <col min="778" max="778" width="8.85546875" customWidth="1"/>
    <col min="779" max="779" width="9.85546875" customWidth="1"/>
    <col min="781" max="781" width="8.28515625" customWidth="1"/>
    <col min="782" max="782" width="36.5703125" customWidth="1"/>
    <col min="783" max="783" width="11.85546875" customWidth="1"/>
    <col min="784" max="787" width="6.7109375" customWidth="1"/>
    <col min="788" max="788" width="15.85546875" customWidth="1"/>
    <col min="789" max="791" width="0" hidden="1" customWidth="1"/>
    <col min="792" max="792" width="13.140625" customWidth="1"/>
    <col min="796" max="797" width="12.140625" customWidth="1"/>
    <col min="1025" max="1025" width="14.42578125" customWidth="1"/>
    <col min="1026" max="1026" width="15.42578125" customWidth="1"/>
    <col min="1027" max="1027" width="9.5703125" customWidth="1"/>
    <col min="1028" max="1028" width="12.140625" customWidth="1"/>
    <col min="1029" max="1029" width="13.140625" customWidth="1"/>
    <col min="1030" max="1030" width="12.85546875" customWidth="1"/>
    <col min="1031" max="1031" width="15.85546875" customWidth="1"/>
    <col min="1032" max="1032" width="14.7109375" customWidth="1"/>
    <col min="1033" max="1033" width="11" customWidth="1"/>
    <col min="1034" max="1034" width="8.85546875" customWidth="1"/>
    <col min="1035" max="1035" width="9.85546875" customWidth="1"/>
    <col min="1037" max="1037" width="8.28515625" customWidth="1"/>
    <col min="1038" max="1038" width="36.5703125" customWidth="1"/>
    <col min="1039" max="1039" width="11.85546875" customWidth="1"/>
    <col min="1040" max="1043" width="6.7109375" customWidth="1"/>
    <col min="1044" max="1044" width="15.85546875" customWidth="1"/>
    <col min="1045" max="1047" width="0" hidden="1" customWidth="1"/>
    <col min="1048" max="1048" width="13.140625" customWidth="1"/>
    <col min="1052" max="1053" width="12.140625" customWidth="1"/>
    <col min="1281" max="1281" width="14.42578125" customWidth="1"/>
    <col min="1282" max="1282" width="15.42578125" customWidth="1"/>
    <col min="1283" max="1283" width="9.5703125" customWidth="1"/>
    <col min="1284" max="1284" width="12.140625" customWidth="1"/>
    <col min="1285" max="1285" width="13.140625" customWidth="1"/>
    <col min="1286" max="1286" width="12.85546875" customWidth="1"/>
    <col min="1287" max="1287" width="15.85546875" customWidth="1"/>
    <col min="1288" max="1288" width="14.7109375" customWidth="1"/>
    <col min="1289" max="1289" width="11" customWidth="1"/>
    <col min="1290" max="1290" width="8.85546875" customWidth="1"/>
    <col min="1291" max="1291" width="9.85546875" customWidth="1"/>
    <col min="1293" max="1293" width="8.28515625" customWidth="1"/>
    <col min="1294" max="1294" width="36.5703125" customWidth="1"/>
    <col min="1295" max="1295" width="11.85546875" customWidth="1"/>
    <col min="1296" max="1299" width="6.7109375" customWidth="1"/>
    <col min="1300" max="1300" width="15.85546875" customWidth="1"/>
    <col min="1301" max="1303" width="0" hidden="1" customWidth="1"/>
    <col min="1304" max="1304" width="13.140625" customWidth="1"/>
    <col min="1308" max="1309" width="12.140625" customWidth="1"/>
    <col min="1537" max="1537" width="14.42578125" customWidth="1"/>
    <col min="1538" max="1538" width="15.42578125" customWidth="1"/>
    <col min="1539" max="1539" width="9.5703125" customWidth="1"/>
    <col min="1540" max="1540" width="12.140625" customWidth="1"/>
    <col min="1541" max="1541" width="13.140625" customWidth="1"/>
    <col min="1542" max="1542" width="12.85546875" customWidth="1"/>
    <col min="1543" max="1543" width="15.85546875" customWidth="1"/>
    <col min="1544" max="1544" width="14.7109375" customWidth="1"/>
    <col min="1545" max="1545" width="11" customWidth="1"/>
    <col min="1546" max="1546" width="8.85546875" customWidth="1"/>
    <col min="1547" max="1547" width="9.85546875" customWidth="1"/>
    <col min="1549" max="1549" width="8.28515625" customWidth="1"/>
    <col min="1550" max="1550" width="36.5703125" customWidth="1"/>
    <col min="1551" max="1551" width="11.85546875" customWidth="1"/>
    <col min="1552" max="1555" width="6.7109375" customWidth="1"/>
    <col min="1556" max="1556" width="15.85546875" customWidth="1"/>
    <col min="1557" max="1559" width="0" hidden="1" customWidth="1"/>
    <col min="1560" max="1560" width="13.140625" customWidth="1"/>
    <col min="1564" max="1565" width="12.140625" customWidth="1"/>
    <col min="1793" max="1793" width="14.42578125" customWidth="1"/>
    <col min="1794" max="1794" width="15.42578125" customWidth="1"/>
    <col min="1795" max="1795" width="9.5703125" customWidth="1"/>
    <col min="1796" max="1796" width="12.140625" customWidth="1"/>
    <col min="1797" max="1797" width="13.140625" customWidth="1"/>
    <col min="1798" max="1798" width="12.85546875" customWidth="1"/>
    <col min="1799" max="1799" width="15.85546875" customWidth="1"/>
    <col min="1800" max="1800" width="14.7109375" customWidth="1"/>
    <col min="1801" max="1801" width="11" customWidth="1"/>
    <col min="1802" max="1802" width="8.85546875" customWidth="1"/>
    <col min="1803" max="1803" width="9.85546875" customWidth="1"/>
    <col min="1805" max="1805" width="8.28515625" customWidth="1"/>
    <col min="1806" max="1806" width="36.5703125" customWidth="1"/>
    <col min="1807" max="1807" width="11.85546875" customWidth="1"/>
    <col min="1808" max="1811" width="6.7109375" customWidth="1"/>
    <col min="1812" max="1812" width="15.85546875" customWidth="1"/>
    <col min="1813" max="1815" width="0" hidden="1" customWidth="1"/>
    <col min="1816" max="1816" width="13.140625" customWidth="1"/>
    <col min="1820" max="1821" width="12.140625" customWidth="1"/>
    <col min="2049" max="2049" width="14.42578125" customWidth="1"/>
    <col min="2050" max="2050" width="15.42578125" customWidth="1"/>
    <col min="2051" max="2051" width="9.5703125" customWidth="1"/>
    <col min="2052" max="2052" width="12.140625" customWidth="1"/>
    <col min="2053" max="2053" width="13.140625" customWidth="1"/>
    <col min="2054" max="2054" width="12.85546875" customWidth="1"/>
    <col min="2055" max="2055" width="15.85546875" customWidth="1"/>
    <col min="2056" max="2056" width="14.7109375" customWidth="1"/>
    <col min="2057" max="2057" width="11" customWidth="1"/>
    <col min="2058" max="2058" width="8.85546875" customWidth="1"/>
    <col min="2059" max="2059" width="9.85546875" customWidth="1"/>
    <col min="2061" max="2061" width="8.28515625" customWidth="1"/>
    <col min="2062" max="2062" width="36.5703125" customWidth="1"/>
    <col min="2063" max="2063" width="11.85546875" customWidth="1"/>
    <col min="2064" max="2067" width="6.7109375" customWidth="1"/>
    <col min="2068" max="2068" width="15.85546875" customWidth="1"/>
    <col min="2069" max="2071" width="0" hidden="1" customWidth="1"/>
    <col min="2072" max="2072" width="13.140625" customWidth="1"/>
    <col min="2076" max="2077" width="12.140625" customWidth="1"/>
    <col min="2305" max="2305" width="14.42578125" customWidth="1"/>
    <col min="2306" max="2306" width="15.42578125" customWidth="1"/>
    <col min="2307" max="2307" width="9.5703125" customWidth="1"/>
    <col min="2308" max="2308" width="12.140625" customWidth="1"/>
    <col min="2309" max="2309" width="13.140625" customWidth="1"/>
    <col min="2310" max="2310" width="12.85546875" customWidth="1"/>
    <col min="2311" max="2311" width="15.85546875" customWidth="1"/>
    <col min="2312" max="2312" width="14.7109375" customWidth="1"/>
    <col min="2313" max="2313" width="11" customWidth="1"/>
    <col min="2314" max="2314" width="8.85546875" customWidth="1"/>
    <col min="2315" max="2315" width="9.85546875" customWidth="1"/>
    <col min="2317" max="2317" width="8.28515625" customWidth="1"/>
    <col min="2318" max="2318" width="36.5703125" customWidth="1"/>
    <col min="2319" max="2319" width="11.85546875" customWidth="1"/>
    <col min="2320" max="2323" width="6.7109375" customWidth="1"/>
    <col min="2324" max="2324" width="15.85546875" customWidth="1"/>
    <col min="2325" max="2327" width="0" hidden="1" customWidth="1"/>
    <col min="2328" max="2328" width="13.140625" customWidth="1"/>
    <col min="2332" max="2333" width="12.140625" customWidth="1"/>
    <col min="2561" max="2561" width="14.42578125" customWidth="1"/>
    <col min="2562" max="2562" width="15.42578125" customWidth="1"/>
    <col min="2563" max="2563" width="9.5703125" customWidth="1"/>
    <col min="2564" max="2564" width="12.140625" customWidth="1"/>
    <col min="2565" max="2565" width="13.140625" customWidth="1"/>
    <col min="2566" max="2566" width="12.85546875" customWidth="1"/>
    <col min="2567" max="2567" width="15.85546875" customWidth="1"/>
    <col min="2568" max="2568" width="14.7109375" customWidth="1"/>
    <col min="2569" max="2569" width="11" customWidth="1"/>
    <col min="2570" max="2570" width="8.85546875" customWidth="1"/>
    <col min="2571" max="2571" width="9.85546875" customWidth="1"/>
    <col min="2573" max="2573" width="8.28515625" customWidth="1"/>
    <col min="2574" max="2574" width="36.5703125" customWidth="1"/>
    <col min="2575" max="2575" width="11.85546875" customWidth="1"/>
    <col min="2576" max="2579" width="6.7109375" customWidth="1"/>
    <col min="2580" max="2580" width="15.85546875" customWidth="1"/>
    <col min="2581" max="2583" width="0" hidden="1" customWidth="1"/>
    <col min="2584" max="2584" width="13.140625" customWidth="1"/>
    <col min="2588" max="2589" width="12.140625" customWidth="1"/>
    <col min="2817" max="2817" width="14.42578125" customWidth="1"/>
    <col min="2818" max="2818" width="15.42578125" customWidth="1"/>
    <col min="2819" max="2819" width="9.5703125" customWidth="1"/>
    <col min="2820" max="2820" width="12.140625" customWidth="1"/>
    <col min="2821" max="2821" width="13.140625" customWidth="1"/>
    <col min="2822" max="2822" width="12.85546875" customWidth="1"/>
    <col min="2823" max="2823" width="15.85546875" customWidth="1"/>
    <col min="2824" max="2824" width="14.7109375" customWidth="1"/>
    <col min="2825" max="2825" width="11" customWidth="1"/>
    <col min="2826" max="2826" width="8.85546875" customWidth="1"/>
    <col min="2827" max="2827" width="9.85546875" customWidth="1"/>
    <col min="2829" max="2829" width="8.28515625" customWidth="1"/>
    <col min="2830" max="2830" width="36.5703125" customWidth="1"/>
    <col min="2831" max="2831" width="11.85546875" customWidth="1"/>
    <col min="2832" max="2835" width="6.7109375" customWidth="1"/>
    <col min="2836" max="2836" width="15.85546875" customWidth="1"/>
    <col min="2837" max="2839" width="0" hidden="1" customWidth="1"/>
    <col min="2840" max="2840" width="13.140625" customWidth="1"/>
    <col min="2844" max="2845" width="12.140625" customWidth="1"/>
    <col min="3073" max="3073" width="14.42578125" customWidth="1"/>
    <col min="3074" max="3074" width="15.42578125" customWidth="1"/>
    <col min="3075" max="3075" width="9.5703125" customWidth="1"/>
    <col min="3076" max="3076" width="12.140625" customWidth="1"/>
    <col min="3077" max="3077" width="13.140625" customWidth="1"/>
    <col min="3078" max="3078" width="12.85546875" customWidth="1"/>
    <col min="3079" max="3079" width="15.85546875" customWidth="1"/>
    <col min="3080" max="3080" width="14.7109375" customWidth="1"/>
    <col min="3081" max="3081" width="11" customWidth="1"/>
    <col min="3082" max="3082" width="8.85546875" customWidth="1"/>
    <col min="3083" max="3083" width="9.85546875" customWidth="1"/>
    <col min="3085" max="3085" width="8.28515625" customWidth="1"/>
    <col min="3086" max="3086" width="36.5703125" customWidth="1"/>
    <col min="3087" max="3087" width="11.85546875" customWidth="1"/>
    <col min="3088" max="3091" width="6.7109375" customWidth="1"/>
    <col min="3092" max="3092" width="15.85546875" customWidth="1"/>
    <col min="3093" max="3095" width="0" hidden="1" customWidth="1"/>
    <col min="3096" max="3096" width="13.140625" customWidth="1"/>
    <col min="3100" max="3101" width="12.140625" customWidth="1"/>
    <col min="3329" max="3329" width="14.42578125" customWidth="1"/>
    <col min="3330" max="3330" width="15.42578125" customWidth="1"/>
    <col min="3331" max="3331" width="9.5703125" customWidth="1"/>
    <col min="3332" max="3332" width="12.140625" customWidth="1"/>
    <col min="3333" max="3333" width="13.140625" customWidth="1"/>
    <col min="3334" max="3334" width="12.85546875" customWidth="1"/>
    <col min="3335" max="3335" width="15.85546875" customWidth="1"/>
    <col min="3336" max="3336" width="14.7109375" customWidth="1"/>
    <col min="3337" max="3337" width="11" customWidth="1"/>
    <col min="3338" max="3338" width="8.85546875" customWidth="1"/>
    <col min="3339" max="3339" width="9.85546875" customWidth="1"/>
    <col min="3341" max="3341" width="8.28515625" customWidth="1"/>
    <col min="3342" max="3342" width="36.5703125" customWidth="1"/>
    <col min="3343" max="3343" width="11.85546875" customWidth="1"/>
    <col min="3344" max="3347" width="6.7109375" customWidth="1"/>
    <col min="3348" max="3348" width="15.85546875" customWidth="1"/>
    <col min="3349" max="3351" width="0" hidden="1" customWidth="1"/>
    <col min="3352" max="3352" width="13.140625" customWidth="1"/>
    <col min="3356" max="3357" width="12.140625" customWidth="1"/>
    <col min="3585" max="3585" width="14.42578125" customWidth="1"/>
    <col min="3586" max="3586" width="15.42578125" customWidth="1"/>
    <col min="3587" max="3587" width="9.5703125" customWidth="1"/>
    <col min="3588" max="3588" width="12.140625" customWidth="1"/>
    <col min="3589" max="3589" width="13.140625" customWidth="1"/>
    <col min="3590" max="3590" width="12.85546875" customWidth="1"/>
    <col min="3591" max="3591" width="15.85546875" customWidth="1"/>
    <col min="3592" max="3592" width="14.7109375" customWidth="1"/>
    <col min="3593" max="3593" width="11" customWidth="1"/>
    <col min="3594" max="3594" width="8.85546875" customWidth="1"/>
    <col min="3595" max="3595" width="9.85546875" customWidth="1"/>
    <col min="3597" max="3597" width="8.28515625" customWidth="1"/>
    <col min="3598" max="3598" width="36.5703125" customWidth="1"/>
    <col min="3599" max="3599" width="11.85546875" customWidth="1"/>
    <col min="3600" max="3603" width="6.7109375" customWidth="1"/>
    <col min="3604" max="3604" width="15.85546875" customWidth="1"/>
    <col min="3605" max="3607" width="0" hidden="1" customWidth="1"/>
    <col min="3608" max="3608" width="13.140625" customWidth="1"/>
    <col min="3612" max="3613" width="12.140625" customWidth="1"/>
    <col min="3841" max="3841" width="14.42578125" customWidth="1"/>
    <col min="3842" max="3842" width="15.42578125" customWidth="1"/>
    <col min="3843" max="3843" width="9.5703125" customWidth="1"/>
    <col min="3844" max="3844" width="12.140625" customWidth="1"/>
    <col min="3845" max="3845" width="13.140625" customWidth="1"/>
    <col min="3846" max="3846" width="12.85546875" customWidth="1"/>
    <col min="3847" max="3847" width="15.85546875" customWidth="1"/>
    <col min="3848" max="3848" width="14.7109375" customWidth="1"/>
    <col min="3849" max="3849" width="11" customWidth="1"/>
    <col min="3850" max="3850" width="8.85546875" customWidth="1"/>
    <col min="3851" max="3851" width="9.85546875" customWidth="1"/>
    <col min="3853" max="3853" width="8.28515625" customWidth="1"/>
    <col min="3854" max="3854" width="36.5703125" customWidth="1"/>
    <col min="3855" max="3855" width="11.85546875" customWidth="1"/>
    <col min="3856" max="3859" width="6.7109375" customWidth="1"/>
    <col min="3860" max="3860" width="15.85546875" customWidth="1"/>
    <col min="3861" max="3863" width="0" hidden="1" customWidth="1"/>
    <col min="3864" max="3864" width="13.140625" customWidth="1"/>
    <col min="3868" max="3869" width="12.140625" customWidth="1"/>
    <col min="4097" max="4097" width="14.42578125" customWidth="1"/>
    <col min="4098" max="4098" width="15.42578125" customWidth="1"/>
    <col min="4099" max="4099" width="9.5703125" customWidth="1"/>
    <col min="4100" max="4100" width="12.140625" customWidth="1"/>
    <col min="4101" max="4101" width="13.140625" customWidth="1"/>
    <col min="4102" max="4102" width="12.85546875" customWidth="1"/>
    <col min="4103" max="4103" width="15.85546875" customWidth="1"/>
    <col min="4104" max="4104" width="14.7109375" customWidth="1"/>
    <col min="4105" max="4105" width="11" customWidth="1"/>
    <col min="4106" max="4106" width="8.85546875" customWidth="1"/>
    <col min="4107" max="4107" width="9.85546875" customWidth="1"/>
    <col min="4109" max="4109" width="8.28515625" customWidth="1"/>
    <col min="4110" max="4110" width="36.5703125" customWidth="1"/>
    <col min="4111" max="4111" width="11.85546875" customWidth="1"/>
    <col min="4112" max="4115" width="6.7109375" customWidth="1"/>
    <col min="4116" max="4116" width="15.85546875" customWidth="1"/>
    <col min="4117" max="4119" width="0" hidden="1" customWidth="1"/>
    <col min="4120" max="4120" width="13.140625" customWidth="1"/>
    <col min="4124" max="4125" width="12.140625" customWidth="1"/>
    <col min="4353" max="4353" width="14.42578125" customWidth="1"/>
    <col min="4354" max="4354" width="15.42578125" customWidth="1"/>
    <col min="4355" max="4355" width="9.5703125" customWidth="1"/>
    <col min="4356" max="4356" width="12.140625" customWidth="1"/>
    <col min="4357" max="4357" width="13.140625" customWidth="1"/>
    <col min="4358" max="4358" width="12.85546875" customWidth="1"/>
    <col min="4359" max="4359" width="15.85546875" customWidth="1"/>
    <col min="4360" max="4360" width="14.7109375" customWidth="1"/>
    <col min="4361" max="4361" width="11" customWidth="1"/>
    <col min="4362" max="4362" width="8.85546875" customWidth="1"/>
    <col min="4363" max="4363" width="9.85546875" customWidth="1"/>
    <col min="4365" max="4365" width="8.28515625" customWidth="1"/>
    <col min="4366" max="4366" width="36.5703125" customWidth="1"/>
    <col min="4367" max="4367" width="11.85546875" customWidth="1"/>
    <col min="4368" max="4371" width="6.7109375" customWidth="1"/>
    <col min="4372" max="4372" width="15.85546875" customWidth="1"/>
    <col min="4373" max="4375" width="0" hidden="1" customWidth="1"/>
    <col min="4376" max="4376" width="13.140625" customWidth="1"/>
    <col min="4380" max="4381" width="12.140625" customWidth="1"/>
    <col min="4609" max="4609" width="14.42578125" customWidth="1"/>
    <col min="4610" max="4610" width="15.42578125" customWidth="1"/>
    <col min="4611" max="4611" width="9.5703125" customWidth="1"/>
    <col min="4612" max="4612" width="12.140625" customWidth="1"/>
    <col min="4613" max="4613" width="13.140625" customWidth="1"/>
    <col min="4614" max="4614" width="12.85546875" customWidth="1"/>
    <col min="4615" max="4615" width="15.85546875" customWidth="1"/>
    <col min="4616" max="4616" width="14.7109375" customWidth="1"/>
    <col min="4617" max="4617" width="11" customWidth="1"/>
    <col min="4618" max="4618" width="8.85546875" customWidth="1"/>
    <col min="4619" max="4619" width="9.85546875" customWidth="1"/>
    <col min="4621" max="4621" width="8.28515625" customWidth="1"/>
    <col min="4622" max="4622" width="36.5703125" customWidth="1"/>
    <col min="4623" max="4623" width="11.85546875" customWidth="1"/>
    <col min="4624" max="4627" width="6.7109375" customWidth="1"/>
    <col min="4628" max="4628" width="15.85546875" customWidth="1"/>
    <col min="4629" max="4631" width="0" hidden="1" customWidth="1"/>
    <col min="4632" max="4632" width="13.140625" customWidth="1"/>
    <col min="4636" max="4637" width="12.140625" customWidth="1"/>
    <col min="4865" max="4865" width="14.42578125" customWidth="1"/>
    <col min="4866" max="4866" width="15.42578125" customWidth="1"/>
    <col min="4867" max="4867" width="9.5703125" customWidth="1"/>
    <col min="4868" max="4868" width="12.140625" customWidth="1"/>
    <col min="4869" max="4869" width="13.140625" customWidth="1"/>
    <col min="4870" max="4870" width="12.85546875" customWidth="1"/>
    <col min="4871" max="4871" width="15.85546875" customWidth="1"/>
    <col min="4872" max="4872" width="14.7109375" customWidth="1"/>
    <col min="4873" max="4873" width="11" customWidth="1"/>
    <col min="4874" max="4874" width="8.85546875" customWidth="1"/>
    <col min="4875" max="4875" width="9.85546875" customWidth="1"/>
    <col min="4877" max="4877" width="8.28515625" customWidth="1"/>
    <col min="4878" max="4878" width="36.5703125" customWidth="1"/>
    <col min="4879" max="4879" width="11.85546875" customWidth="1"/>
    <col min="4880" max="4883" width="6.7109375" customWidth="1"/>
    <col min="4884" max="4884" width="15.85546875" customWidth="1"/>
    <col min="4885" max="4887" width="0" hidden="1" customWidth="1"/>
    <col min="4888" max="4888" width="13.140625" customWidth="1"/>
    <col min="4892" max="4893" width="12.140625" customWidth="1"/>
    <col min="5121" max="5121" width="14.42578125" customWidth="1"/>
    <col min="5122" max="5122" width="15.42578125" customWidth="1"/>
    <col min="5123" max="5123" width="9.5703125" customWidth="1"/>
    <col min="5124" max="5124" width="12.140625" customWidth="1"/>
    <col min="5125" max="5125" width="13.140625" customWidth="1"/>
    <col min="5126" max="5126" width="12.85546875" customWidth="1"/>
    <col min="5127" max="5127" width="15.85546875" customWidth="1"/>
    <col min="5128" max="5128" width="14.7109375" customWidth="1"/>
    <col min="5129" max="5129" width="11" customWidth="1"/>
    <col min="5130" max="5130" width="8.85546875" customWidth="1"/>
    <col min="5131" max="5131" width="9.85546875" customWidth="1"/>
    <col min="5133" max="5133" width="8.28515625" customWidth="1"/>
    <col min="5134" max="5134" width="36.5703125" customWidth="1"/>
    <col min="5135" max="5135" width="11.85546875" customWidth="1"/>
    <col min="5136" max="5139" width="6.7109375" customWidth="1"/>
    <col min="5140" max="5140" width="15.85546875" customWidth="1"/>
    <col min="5141" max="5143" width="0" hidden="1" customWidth="1"/>
    <col min="5144" max="5144" width="13.140625" customWidth="1"/>
    <col min="5148" max="5149" width="12.140625" customWidth="1"/>
    <col min="5377" max="5377" width="14.42578125" customWidth="1"/>
    <col min="5378" max="5378" width="15.42578125" customWidth="1"/>
    <col min="5379" max="5379" width="9.5703125" customWidth="1"/>
    <col min="5380" max="5380" width="12.140625" customWidth="1"/>
    <col min="5381" max="5381" width="13.140625" customWidth="1"/>
    <col min="5382" max="5382" width="12.85546875" customWidth="1"/>
    <col min="5383" max="5383" width="15.85546875" customWidth="1"/>
    <col min="5384" max="5384" width="14.7109375" customWidth="1"/>
    <col min="5385" max="5385" width="11" customWidth="1"/>
    <col min="5386" max="5386" width="8.85546875" customWidth="1"/>
    <col min="5387" max="5387" width="9.85546875" customWidth="1"/>
    <col min="5389" max="5389" width="8.28515625" customWidth="1"/>
    <col min="5390" max="5390" width="36.5703125" customWidth="1"/>
    <col min="5391" max="5391" width="11.85546875" customWidth="1"/>
    <col min="5392" max="5395" width="6.7109375" customWidth="1"/>
    <col min="5396" max="5396" width="15.85546875" customWidth="1"/>
    <col min="5397" max="5399" width="0" hidden="1" customWidth="1"/>
    <col min="5400" max="5400" width="13.140625" customWidth="1"/>
    <col min="5404" max="5405" width="12.140625" customWidth="1"/>
    <col min="5633" max="5633" width="14.42578125" customWidth="1"/>
    <col min="5634" max="5634" width="15.42578125" customWidth="1"/>
    <col min="5635" max="5635" width="9.5703125" customWidth="1"/>
    <col min="5636" max="5636" width="12.140625" customWidth="1"/>
    <col min="5637" max="5637" width="13.140625" customWidth="1"/>
    <col min="5638" max="5638" width="12.85546875" customWidth="1"/>
    <col min="5639" max="5639" width="15.85546875" customWidth="1"/>
    <col min="5640" max="5640" width="14.7109375" customWidth="1"/>
    <col min="5641" max="5641" width="11" customWidth="1"/>
    <col min="5642" max="5642" width="8.85546875" customWidth="1"/>
    <col min="5643" max="5643" width="9.85546875" customWidth="1"/>
    <col min="5645" max="5645" width="8.28515625" customWidth="1"/>
    <col min="5646" max="5646" width="36.5703125" customWidth="1"/>
    <col min="5647" max="5647" width="11.85546875" customWidth="1"/>
    <col min="5648" max="5651" width="6.7109375" customWidth="1"/>
    <col min="5652" max="5652" width="15.85546875" customWidth="1"/>
    <col min="5653" max="5655" width="0" hidden="1" customWidth="1"/>
    <col min="5656" max="5656" width="13.140625" customWidth="1"/>
    <col min="5660" max="5661" width="12.140625" customWidth="1"/>
    <col min="5889" max="5889" width="14.42578125" customWidth="1"/>
    <col min="5890" max="5890" width="15.42578125" customWidth="1"/>
    <col min="5891" max="5891" width="9.5703125" customWidth="1"/>
    <col min="5892" max="5892" width="12.140625" customWidth="1"/>
    <col min="5893" max="5893" width="13.140625" customWidth="1"/>
    <col min="5894" max="5894" width="12.85546875" customWidth="1"/>
    <col min="5895" max="5895" width="15.85546875" customWidth="1"/>
    <col min="5896" max="5896" width="14.7109375" customWidth="1"/>
    <col min="5897" max="5897" width="11" customWidth="1"/>
    <col min="5898" max="5898" width="8.85546875" customWidth="1"/>
    <col min="5899" max="5899" width="9.85546875" customWidth="1"/>
    <col min="5901" max="5901" width="8.28515625" customWidth="1"/>
    <col min="5902" max="5902" width="36.5703125" customWidth="1"/>
    <col min="5903" max="5903" width="11.85546875" customWidth="1"/>
    <col min="5904" max="5907" width="6.7109375" customWidth="1"/>
    <col min="5908" max="5908" width="15.85546875" customWidth="1"/>
    <col min="5909" max="5911" width="0" hidden="1" customWidth="1"/>
    <col min="5912" max="5912" width="13.140625" customWidth="1"/>
    <col min="5916" max="5917" width="12.140625" customWidth="1"/>
    <col min="6145" max="6145" width="14.42578125" customWidth="1"/>
    <col min="6146" max="6146" width="15.42578125" customWidth="1"/>
    <col min="6147" max="6147" width="9.5703125" customWidth="1"/>
    <col min="6148" max="6148" width="12.140625" customWidth="1"/>
    <col min="6149" max="6149" width="13.140625" customWidth="1"/>
    <col min="6150" max="6150" width="12.85546875" customWidth="1"/>
    <col min="6151" max="6151" width="15.85546875" customWidth="1"/>
    <col min="6152" max="6152" width="14.7109375" customWidth="1"/>
    <col min="6153" max="6153" width="11" customWidth="1"/>
    <col min="6154" max="6154" width="8.85546875" customWidth="1"/>
    <col min="6155" max="6155" width="9.85546875" customWidth="1"/>
    <col min="6157" max="6157" width="8.28515625" customWidth="1"/>
    <col min="6158" max="6158" width="36.5703125" customWidth="1"/>
    <col min="6159" max="6159" width="11.85546875" customWidth="1"/>
    <col min="6160" max="6163" width="6.7109375" customWidth="1"/>
    <col min="6164" max="6164" width="15.85546875" customWidth="1"/>
    <col min="6165" max="6167" width="0" hidden="1" customWidth="1"/>
    <col min="6168" max="6168" width="13.140625" customWidth="1"/>
    <col min="6172" max="6173" width="12.140625" customWidth="1"/>
    <col min="6401" max="6401" width="14.42578125" customWidth="1"/>
    <col min="6402" max="6402" width="15.42578125" customWidth="1"/>
    <col min="6403" max="6403" width="9.5703125" customWidth="1"/>
    <col min="6404" max="6404" width="12.140625" customWidth="1"/>
    <col min="6405" max="6405" width="13.140625" customWidth="1"/>
    <col min="6406" max="6406" width="12.85546875" customWidth="1"/>
    <col min="6407" max="6407" width="15.85546875" customWidth="1"/>
    <col min="6408" max="6408" width="14.7109375" customWidth="1"/>
    <col min="6409" max="6409" width="11" customWidth="1"/>
    <col min="6410" max="6410" width="8.85546875" customWidth="1"/>
    <col min="6411" max="6411" width="9.85546875" customWidth="1"/>
    <col min="6413" max="6413" width="8.28515625" customWidth="1"/>
    <col min="6414" max="6414" width="36.5703125" customWidth="1"/>
    <col min="6415" max="6415" width="11.85546875" customWidth="1"/>
    <col min="6416" max="6419" width="6.7109375" customWidth="1"/>
    <col min="6420" max="6420" width="15.85546875" customWidth="1"/>
    <col min="6421" max="6423" width="0" hidden="1" customWidth="1"/>
    <col min="6424" max="6424" width="13.140625" customWidth="1"/>
    <col min="6428" max="6429" width="12.140625" customWidth="1"/>
    <col min="6657" max="6657" width="14.42578125" customWidth="1"/>
    <col min="6658" max="6658" width="15.42578125" customWidth="1"/>
    <col min="6659" max="6659" width="9.5703125" customWidth="1"/>
    <col min="6660" max="6660" width="12.140625" customWidth="1"/>
    <col min="6661" max="6661" width="13.140625" customWidth="1"/>
    <col min="6662" max="6662" width="12.85546875" customWidth="1"/>
    <col min="6663" max="6663" width="15.85546875" customWidth="1"/>
    <col min="6664" max="6664" width="14.7109375" customWidth="1"/>
    <col min="6665" max="6665" width="11" customWidth="1"/>
    <col min="6666" max="6666" width="8.85546875" customWidth="1"/>
    <col min="6667" max="6667" width="9.85546875" customWidth="1"/>
    <col min="6669" max="6669" width="8.28515625" customWidth="1"/>
    <col min="6670" max="6670" width="36.5703125" customWidth="1"/>
    <col min="6671" max="6671" width="11.85546875" customWidth="1"/>
    <col min="6672" max="6675" width="6.7109375" customWidth="1"/>
    <col min="6676" max="6676" width="15.85546875" customWidth="1"/>
    <col min="6677" max="6679" width="0" hidden="1" customWidth="1"/>
    <col min="6680" max="6680" width="13.140625" customWidth="1"/>
    <col min="6684" max="6685" width="12.140625" customWidth="1"/>
    <col min="6913" max="6913" width="14.42578125" customWidth="1"/>
    <col min="6914" max="6914" width="15.42578125" customWidth="1"/>
    <col min="6915" max="6915" width="9.5703125" customWidth="1"/>
    <col min="6916" max="6916" width="12.140625" customWidth="1"/>
    <col min="6917" max="6917" width="13.140625" customWidth="1"/>
    <col min="6918" max="6918" width="12.85546875" customWidth="1"/>
    <col min="6919" max="6919" width="15.85546875" customWidth="1"/>
    <col min="6920" max="6920" width="14.7109375" customWidth="1"/>
    <col min="6921" max="6921" width="11" customWidth="1"/>
    <col min="6922" max="6922" width="8.85546875" customWidth="1"/>
    <col min="6923" max="6923" width="9.85546875" customWidth="1"/>
    <col min="6925" max="6925" width="8.28515625" customWidth="1"/>
    <col min="6926" max="6926" width="36.5703125" customWidth="1"/>
    <col min="6927" max="6927" width="11.85546875" customWidth="1"/>
    <col min="6928" max="6931" width="6.7109375" customWidth="1"/>
    <col min="6932" max="6932" width="15.85546875" customWidth="1"/>
    <col min="6933" max="6935" width="0" hidden="1" customWidth="1"/>
    <col min="6936" max="6936" width="13.140625" customWidth="1"/>
    <col min="6940" max="6941" width="12.140625" customWidth="1"/>
    <col min="7169" max="7169" width="14.42578125" customWidth="1"/>
    <col min="7170" max="7170" width="15.42578125" customWidth="1"/>
    <col min="7171" max="7171" width="9.5703125" customWidth="1"/>
    <col min="7172" max="7172" width="12.140625" customWidth="1"/>
    <col min="7173" max="7173" width="13.140625" customWidth="1"/>
    <col min="7174" max="7174" width="12.85546875" customWidth="1"/>
    <col min="7175" max="7175" width="15.85546875" customWidth="1"/>
    <col min="7176" max="7176" width="14.7109375" customWidth="1"/>
    <col min="7177" max="7177" width="11" customWidth="1"/>
    <col min="7178" max="7178" width="8.85546875" customWidth="1"/>
    <col min="7179" max="7179" width="9.85546875" customWidth="1"/>
    <col min="7181" max="7181" width="8.28515625" customWidth="1"/>
    <col min="7182" max="7182" width="36.5703125" customWidth="1"/>
    <col min="7183" max="7183" width="11.85546875" customWidth="1"/>
    <col min="7184" max="7187" width="6.7109375" customWidth="1"/>
    <col min="7188" max="7188" width="15.85546875" customWidth="1"/>
    <col min="7189" max="7191" width="0" hidden="1" customWidth="1"/>
    <col min="7192" max="7192" width="13.140625" customWidth="1"/>
    <col min="7196" max="7197" width="12.140625" customWidth="1"/>
    <col min="7425" max="7425" width="14.42578125" customWidth="1"/>
    <col min="7426" max="7426" width="15.42578125" customWidth="1"/>
    <col min="7427" max="7427" width="9.5703125" customWidth="1"/>
    <col min="7428" max="7428" width="12.140625" customWidth="1"/>
    <col min="7429" max="7429" width="13.140625" customWidth="1"/>
    <col min="7430" max="7430" width="12.85546875" customWidth="1"/>
    <col min="7431" max="7431" width="15.85546875" customWidth="1"/>
    <col min="7432" max="7432" width="14.7109375" customWidth="1"/>
    <col min="7433" max="7433" width="11" customWidth="1"/>
    <col min="7434" max="7434" width="8.85546875" customWidth="1"/>
    <col min="7435" max="7435" width="9.85546875" customWidth="1"/>
    <col min="7437" max="7437" width="8.28515625" customWidth="1"/>
    <col min="7438" max="7438" width="36.5703125" customWidth="1"/>
    <col min="7439" max="7439" width="11.85546875" customWidth="1"/>
    <col min="7440" max="7443" width="6.7109375" customWidth="1"/>
    <col min="7444" max="7444" width="15.85546875" customWidth="1"/>
    <col min="7445" max="7447" width="0" hidden="1" customWidth="1"/>
    <col min="7448" max="7448" width="13.140625" customWidth="1"/>
    <col min="7452" max="7453" width="12.140625" customWidth="1"/>
    <col min="7681" max="7681" width="14.42578125" customWidth="1"/>
    <col min="7682" max="7682" width="15.42578125" customWidth="1"/>
    <col min="7683" max="7683" width="9.5703125" customWidth="1"/>
    <col min="7684" max="7684" width="12.140625" customWidth="1"/>
    <col min="7685" max="7685" width="13.140625" customWidth="1"/>
    <col min="7686" max="7686" width="12.85546875" customWidth="1"/>
    <col min="7687" max="7687" width="15.85546875" customWidth="1"/>
    <col min="7688" max="7688" width="14.7109375" customWidth="1"/>
    <col min="7689" max="7689" width="11" customWidth="1"/>
    <col min="7690" max="7690" width="8.85546875" customWidth="1"/>
    <col min="7691" max="7691" width="9.85546875" customWidth="1"/>
    <col min="7693" max="7693" width="8.28515625" customWidth="1"/>
    <col min="7694" max="7694" width="36.5703125" customWidth="1"/>
    <col min="7695" max="7695" width="11.85546875" customWidth="1"/>
    <col min="7696" max="7699" width="6.7109375" customWidth="1"/>
    <col min="7700" max="7700" width="15.85546875" customWidth="1"/>
    <col min="7701" max="7703" width="0" hidden="1" customWidth="1"/>
    <col min="7704" max="7704" width="13.140625" customWidth="1"/>
    <col min="7708" max="7709" width="12.140625" customWidth="1"/>
    <col min="7937" max="7937" width="14.42578125" customWidth="1"/>
    <col min="7938" max="7938" width="15.42578125" customWidth="1"/>
    <col min="7939" max="7939" width="9.5703125" customWidth="1"/>
    <col min="7940" max="7940" width="12.140625" customWidth="1"/>
    <col min="7941" max="7941" width="13.140625" customWidth="1"/>
    <col min="7942" max="7942" width="12.85546875" customWidth="1"/>
    <col min="7943" max="7943" width="15.85546875" customWidth="1"/>
    <col min="7944" max="7944" width="14.7109375" customWidth="1"/>
    <col min="7945" max="7945" width="11" customWidth="1"/>
    <col min="7946" max="7946" width="8.85546875" customWidth="1"/>
    <col min="7947" max="7947" width="9.85546875" customWidth="1"/>
    <col min="7949" max="7949" width="8.28515625" customWidth="1"/>
    <col min="7950" max="7950" width="36.5703125" customWidth="1"/>
    <col min="7951" max="7951" width="11.85546875" customWidth="1"/>
    <col min="7952" max="7955" width="6.7109375" customWidth="1"/>
    <col min="7956" max="7956" width="15.85546875" customWidth="1"/>
    <col min="7957" max="7959" width="0" hidden="1" customWidth="1"/>
    <col min="7960" max="7960" width="13.140625" customWidth="1"/>
    <col min="7964" max="7965" width="12.140625" customWidth="1"/>
    <col min="8193" max="8193" width="14.42578125" customWidth="1"/>
    <col min="8194" max="8194" width="15.42578125" customWidth="1"/>
    <col min="8195" max="8195" width="9.5703125" customWidth="1"/>
    <col min="8196" max="8196" width="12.140625" customWidth="1"/>
    <col min="8197" max="8197" width="13.140625" customWidth="1"/>
    <col min="8198" max="8198" width="12.85546875" customWidth="1"/>
    <col min="8199" max="8199" width="15.85546875" customWidth="1"/>
    <col min="8200" max="8200" width="14.7109375" customWidth="1"/>
    <col min="8201" max="8201" width="11" customWidth="1"/>
    <col min="8202" max="8202" width="8.85546875" customWidth="1"/>
    <col min="8203" max="8203" width="9.85546875" customWidth="1"/>
    <col min="8205" max="8205" width="8.28515625" customWidth="1"/>
    <col min="8206" max="8206" width="36.5703125" customWidth="1"/>
    <col min="8207" max="8207" width="11.85546875" customWidth="1"/>
    <col min="8208" max="8211" width="6.7109375" customWidth="1"/>
    <col min="8212" max="8212" width="15.85546875" customWidth="1"/>
    <col min="8213" max="8215" width="0" hidden="1" customWidth="1"/>
    <col min="8216" max="8216" width="13.140625" customWidth="1"/>
    <col min="8220" max="8221" width="12.140625" customWidth="1"/>
    <col min="8449" max="8449" width="14.42578125" customWidth="1"/>
    <col min="8450" max="8450" width="15.42578125" customWidth="1"/>
    <col min="8451" max="8451" width="9.5703125" customWidth="1"/>
    <col min="8452" max="8452" width="12.140625" customWidth="1"/>
    <col min="8453" max="8453" width="13.140625" customWidth="1"/>
    <col min="8454" max="8454" width="12.85546875" customWidth="1"/>
    <col min="8455" max="8455" width="15.85546875" customWidth="1"/>
    <col min="8456" max="8456" width="14.7109375" customWidth="1"/>
    <col min="8457" max="8457" width="11" customWidth="1"/>
    <col min="8458" max="8458" width="8.85546875" customWidth="1"/>
    <col min="8459" max="8459" width="9.85546875" customWidth="1"/>
    <col min="8461" max="8461" width="8.28515625" customWidth="1"/>
    <col min="8462" max="8462" width="36.5703125" customWidth="1"/>
    <col min="8463" max="8463" width="11.85546875" customWidth="1"/>
    <col min="8464" max="8467" width="6.7109375" customWidth="1"/>
    <col min="8468" max="8468" width="15.85546875" customWidth="1"/>
    <col min="8469" max="8471" width="0" hidden="1" customWidth="1"/>
    <col min="8472" max="8472" width="13.140625" customWidth="1"/>
    <col min="8476" max="8477" width="12.140625" customWidth="1"/>
    <col min="8705" max="8705" width="14.42578125" customWidth="1"/>
    <col min="8706" max="8706" width="15.42578125" customWidth="1"/>
    <col min="8707" max="8707" width="9.5703125" customWidth="1"/>
    <col min="8708" max="8708" width="12.140625" customWidth="1"/>
    <col min="8709" max="8709" width="13.140625" customWidth="1"/>
    <col min="8710" max="8710" width="12.85546875" customWidth="1"/>
    <col min="8711" max="8711" width="15.85546875" customWidth="1"/>
    <col min="8712" max="8712" width="14.7109375" customWidth="1"/>
    <col min="8713" max="8713" width="11" customWidth="1"/>
    <col min="8714" max="8714" width="8.85546875" customWidth="1"/>
    <col min="8715" max="8715" width="9.85546875" customWidth="1"/>
    <col min="8717" max="8717" width="8.28515625" customWidth="1"/>
    <col min="8718" max="8718" width="36.5703125" customWidth="1"/>
    <col min="8719" max="8719" width="11.85546875" customWidth="1"/>
    <col min="8720" max="8723" width="6.7109375" customWidth="1"/>
    <col min="8724" max="8724" width="15.85546875" customWidth="1"/>
    <col min="8725" max="8727" width="0" hidden="1" customWidth="1"/>
    <col min="8728" max="8728" width="13.140625" customWidth="1"/>
    <col min="8732" max="8733" width="12.140625" customWidth="1"/>
    <col min="8961" max="8961" width="14.42578125" customWidth="1"/>
    <col min="8962" max="8962" width="15.42578125" customWidth="1"/>
    <col min="8963" max="8963" width="9.5703125" customWidth="1"/>
    <col min="8964" max="8964" width="12.140625" customWidth="1"/>
    <col min="8965" max="8965" width="13.140625" customWidth="1"/>
    <col min="8966" max="8966" width="12.85546875" customWidth="1"/>
    <col min="8967" max="8967" width="15.85546875" customWidth="1"/>
    <col min="8968" max="8968" width="14.7109375" customWidth="1"/>
    <col min="8969" max="8969" width="11" customWidth="1"/>
    <col min="8970" max="8970" width="8.85546875" customWidth="1"/>
    <col min="8971" max="8971" width="9.85546875" customWidth="1"/>
    <col min="8973" max="8973" width="8.28515625" customWidth="1"/>
    <col min="8974" max="8974" width="36.5703125" customWidth="1"/>
    <col min="8975" max="8975" width="11.85546875" customWidth="1"/>
    <col min="8976" max="8979" width="6.7109375" customWidth="1"/>
    <col min="8980" max="8980" width="15.85546875" customWidth="1"/>
    <col min="8981" max="8983" width="0" hidden="1" customWidth="1"/>
    <col min="8984" max="8984" width="13.140625" customWidth="1"/>
    <col min="8988" max="8989" width="12.140625" customWidth="1"/>
    <col min="9217" max="9217" width="14.42578125" customWidth="1"/>
    <col min="9218" max="9218" width="15.42578125" customWidth="1"/>
    <col min="9219" max="9219" width="9.5703125" customWidth="1"/>
    <col min="9220" max="9220" width="12.140625" customWidth="1"/>
    <col min="9221" max="9221" width="13.140625" customWidth="1"/>
    <col min="9222" max="9222" width="12.85546875" customWidth="1"/>
    <col min="9223" max="9223" width="15.85546875" customWidth="1"/>
    <col min="9224" max="9224" width="14.7109375" customWidth="1"/>
    <col min="9225" max="9225" width="11" customWidth="1"/>
    <col min="9226" max="9226" width="8.85546875" customWidth="1"/>
    <col min="9227" max="9227" width="9.85546875" customWidth="1"/>
    <col min="9229" max="9229" width="8.28515625" customWidth="1"/>
    <col min="9230" max="9230" width="36.5703125" customWidth="1"/>
    <col min="9231" max="9231" width="11.85546875" customWidth="1"/>
    <col min="9232" max="9235" width="6.7109375" customWidth="1"/>
    <col min="9236" max="9236" width="15.85546875" customWidth="1"/>
    <col min="9237" max="9239" width="0" hidden="1" customWidth="1"/>
    <col min="9240" max="9240" width="13.140625" customWidth="1"/>
    <col min="9244" max="9245" width="12.140625" customWidth="1"/>
    <col min="9473" max="9473" width="14.42578125" customWidth="1"/>
    <col min="9474" max="9474" width="15.42578125" customWidth="1"/>
    <col min="9475" max="9475" width="9.5703125" customWidth="1"/>
    <col min="9476" max="9476" width="12.140625" customWidth="1"/>
    <col min="9477" max="9477" width="13.140625" customWidth="1"/>
    <col min="9478" max="9478" width="12.85546875" customWidth="1"/>
    <col min="9479" max="9479" width="15.85546875" customWidth="1"/>
    <col min="9480" max="9480" width="14.7109375" customWidth="1"/>
    <col min="9481" max="9481" width="11" customWidth="1"/>
    <col min="9482" max="9482" width="8.85546875" customWidth="1"/>
    <col min="9483" max="9483" width="9.85546875" customWidth="1"/>
    <col min="9485" max="9485" width="8.28515625" customWidth="1"/>
    <col min="9486" max="9486" width="36.5703125" customWidth="1"/>
    <col min="9487" max="9487" width="11.85546875" customWidth="1"/>
    <col min="9488" max="9491" width="6.7109375" customWidth="1"/>
    <col min="9492" max="9492" width="15.85546875" customWidth="1"/>
    <col min="9493" max="9495" width="0" hidden="1" customWidth="1"/>
    <col min="9496" max="9496" width="13.140625" customWidth="1"/>
    <col min="9500" max="9501" width="12.140625" customWidth="1"/>
    <col min="9729" max="9729" width="14.42578125" customWidth="1"/>
    <col min="9730" max="9730" width="15.42578125" customWidth="1"/>
    <col min="9731" max="9731" width="9.5703125" customWidth="1"/>
    <col min="9732" max="9732" width="12.140625" customWidth="1"/>
    <col min="9733" max="9733" width="13.140625" customWidth="1"/>
    <col min="9734" max="9734" width="12.85546875" customWidth="1"/>
    <col min="9735" max="9735" width="15.85546875" customWidth="1"/>
    <col min="9736" max="9736" width="14.7109375" customWidth="1"/>
    <col min="9737" max="9737" width="11" customWidth="1"/>
    <col min="9738" max="9738" width="8.85546875" customWidth="1"/>
    <col min="9739" max="9739" width="9.85546875" customWidth="1"/>
    <col min="9741" max="9741" width="8.28515625" customWidth="1"/>
    <col min="9742" max="9742" width="36.5703125" customWidth="1"/>
    <col min="9743" max="9743" width="11.85546875" customWidth="1"/>
    <col min="9744" max="9747" width="6.7109375" customWidth="1"/>
    <col min="9748" max="9748" width="15.85546875" customWidth="1"/>
    <col min="9749" max="9751" width="0" hidden="1" customWidth="1"/>
    <col min="9752" max="9752" width="13.140625" customWidth="1"/>
    <col min="9756" max="9757" width="12.140625" customWidth="1"/>
    <col min="9985" max="9985" width="14.42578125" customWidth="1"/>
    <col min="9986" max="9986" width="15.42578125" customWidth="1"/>
    <col min="9987" max="9987" width="9.5703125" customWidth="1"/>
    <col min="9988" max="9988" width="12.140625" customWidth="1"/>
    <col min="9989" max="9989" width="13.140625" customWidth="1"/>
    <col min="9990" max="9990" width="12.85546875" customWidth="1"/>
    <col min="9991" max="9991" width="15.85546875" customWidth="1"/>
    <col min="9992" max="9992" width="14.7109375" customWidth="1"/>
    <col min="9993" max="9993" width="11" customWidth="1"/>
    <col min="9994" max="9994" width="8.85546875" customWidth="1"/>
    <col min="9995" max="9995" width="9.85546875" customWidth="1"/>
    <col min="9997" max="9997" width="8.28515625" customWidth="1"/>
    <col min="9998" max="9998" width="36.5703125" customWidth="1"/>
    <col min="9999" max="9999" width="11.85546875" customWidth="1"/>
    <col min="10000" max="10003" width="6.7109375" customWidth="1"/>
    <col min="10004" max="10004" width="15.85546875" customWidth="1"/>
    <col min="10005" max="10007" width="0" hidden="1" customWidth="1"/>
    <col min="10008" max="10008" width="13.140625" customWidth="1"/>
    <col min="10012" max="10013" width="12.140625" customWidth="1"/>
    <col min="10241" max="10241" width="14.42578125" customWidth="1"/>
    <col min="10242" max="10242" width="15.42578125" customWidth="1"/>
    <col min="10243" max="10243" width="9.5703125" customWidth="1"/>
    <col min="10244" max="10244" width="12.140625" customWidth="1"/>
    <col min="10245" max="10245" width="13.140625" customWidth="1"/>
    <col min="10246" max="10246" width="12.85546875" customWidth="1"/>
    <col min="10247" max="10247" width="15.85546875" customWidth="1"/>
    <col min="10248" max="10248" width="14.7109375" customWidth="1"/>
    <col min="10249" max="10249" width="11" customWidth="1"/>
    <col min="10250" max="10250" width="8.85546875" customWidth="1"/>
    <col min="10251" max="10251" width="9.85546875" customWidth="1"/>
    <col min="10253" max="10253" width="8.28515625" customWidth="1"/>
    <col min="10254" max="10254" width="36.5703125" customWidth="1"/>
    <col min="10255" max="10255" width="11.85546875" customWidth="1"/>
    <col min="10256" max="10259" width="6.7109375" customWidth="1"/>
    <col min="10260" max="10260" width="15.85546875" customWidth="1"/>
    <col min="10261" max="10263" width="0" hidden="1" customWidth="1"/>
    <col min="10264" max="10264" width="13.140625" customWidth="1"/>
    <col min="10268" max="10269" width="12.140625" customWidth="1"/>
    <col min="10497" max="10497" width="14.42578125" customWidth="1"/>
    <col min="10498" max="10498" width="15.42578125" customWidth="1"/>
    <col min="10499" max="10499" width="9.5703125" customWidth="1"/>
    <col min="10500" max="10500" width="12.140625" customWidth="1"/>
    <col min="10501" max="10501" width="13.140625" customWidth="1"/>
    <col min="10502" max="10502" width="12.85546875" customWidth="1"/>
    <col min="10503" max="10503" width="15.85546875" customWidth="1"/>
    <col min="10504" max="10504" width="14.7109375" customWidth="1"/>
    <col min="10505" max="10505" width="11" customWidth="1"/>
    <col min="10506" max="10506" width="8.85546875" customWidth="1"/>
    <col min="10507" max="10507" width="9.85546875" customWidth="1"/>
    <col min="10509" max="10509" width="8.28515625" customWidth="1"/>
    <col min="10510" max="10510" width="36.5703125" customWidth="1"/>
    <col min="10511" max="10511" width="11.85546875" customWidth="1"/>
    <col min="10512" max="10515" width="6.7109375" customWidth="1"/>
    <col min="10516" max="10516" width="15.85546875" customWidth="1"/>
    <col min="10517" max="10519" width="0" hidden="1" customWidth="1"/>
    <col min="10520" max="10520" width="13.140625" customWidth="1"/>
    <col min="10524" max="10525" width="12.140625" customWidth="1"/>
    <col min="10753" max="10753" width="14.42578125" customWidth="1"/>
    <col min="10754" max="10754" width="15.42578125" customWidth="1"/>
    <col min="10755" max="10755" width="9.5703125" customWidth="1"/>
    <col min="10756" max="10756" width="12.140625" customWidth="1"/>
    <col min="10757" max="10757" width="13.140625" customWidth="1"/>
    <col min="10758" max="10758" width="12.85546875" customWidth="1"/>
    <col min="10759" max="10759" width="15.85546875" customWidth="1"/>
    <col min="10760" max="10760" width="14.7109375" customWidth="1"/>
    <col min="10761" max="10761" width="11" customWidth="1"/>
    <col min="10762" max="10762" width="8.85546875" customWidth="1"/>
    <col min="10763" max="10763" width="9.85546875" customWidth="1"/>
    <col min="10765" max="10765" width="8.28515625" customWidth="1"/>
    <col min="10766" max="10766" width="36.5703125" customWidth="1"/>
    <col min="10767" max="10767" width="11.85546875" customWidth="1"/>
    <col min="10768" max="10771" width="6.7109375" customWidth="1"/>
    <col min="10772" max="10772" width="15.85546875" customWidth="1"/>
    <col min="10773" max="10775" width="0" hidden="1" customWidth="1"/>
    <col min="10776" max="10776" width="13.140625" customWidth="1"/>
    <col min="10780" max="10781" width="12.140625" customWidth="1"/>
    <col min="11009" max="11009" width="14.42578125" customWidth="1"/>
    <col min="11010" max="11010" width="15.42578125" customWidth="1"/>
    <col min="11011" max="11011" width="9.5703125" customWidth="1"/>
    <col min="11012" max="11012" width="12.140625" customWidth="1"/>
    <col min="11013" max="11013" width="13.140625" customWidth="1"/>
    <col min="11014" max="11014" width="12.85546875" customWidth="1"/>
    <col min="11015" max="11015" width="15.85546875" customWidth="1"/>
    <col min="11016" max="11016" width="14.7109375" customWidth="1"/>
    <col min="11017" max="11017" width="11" customWidth="1"/>
    <col min="11018" max="11018" width="8.85546875" customWidth="1"/>
    <col min="11019" max="11019" width="9.85546875" customWidth="1"/>
    <col min="11021" max="11021" width="8.28515625" customWidth="1"/>
    <col min="11022" max="11022" width="36.5703125" customWidth="1"/>
    <col min="11023" max="11023" width="11.85546875" customWidth="1"/>
    <col min="11024" max="11027" width="6.7109375" customWidth="1"/>
    <col min="11028" max="11028" width="15.85546875" customWidth="1"/>
    <col min="11029" max="11031" width="0" hidden="1" customWidth="1"/>
    <col min="11032" max="11032" width="13.140625" customWidth="1"/>
    <col min="11036" max="11037" width="12.140625" customWidth="1"/>
    <col min="11265" max="11265" width="14.42578125" customWidth="1"/>
    <col min="11266" max="11266" width="15.42578125" customWidth="1"/>
    <col min="11267" max="11267" width="9.5703125" customWidth="1"/>
    <col min="11268" max="11268" width="12.140625" customWidth="1"/>
    <col min="11269" max="11269" width="13.140625" customWidth="1"/>
    <col min="11270" max="11270" width="12.85546875" customWidth="1"/>
    <col min="11271" max="11271" width="15.85546875" customWidth="1"/>
    <col min="11272" max="11272" width="14.7109375" customWidth="1"/>
    <col min="11273" max="11273" width="11" customWidth="1"/>
    <col min="11274" max="11274" width="8.85546875" customWidth="1"/>
    <col min="11275" max="11275" width="9.85546875" customWidth="1"/>
    <col min="11277" max="11277" width="8.28515625" customWidth="1"/>
    <col min="11278" max="11278" width="36.5703125" customWidth="1"/>
    <col min="11279" max="11279" width="11.85546875" customWidth="1"/>
    <col min="11280" max="11283" width="6.7109375" customWidth="1"/>
    <col min="11284" max="11284" width="15.85546875" customWidth="1"/>
    <col min="11285" max="11287" width="0" hidden="1" customWidth="1"/>
    <col min="11288" max="11288" width="13.140625" customWidth="1"/>
    <col min="11292" max="11293" width="12.140625" customWidth="1"/>
    <col min="11521" max="11521" width="14.42578125" customWidth="1"/>
    <col min="11522" max="11522" width="15.42578125" customWidth="1"/>
    <col min="11523" max="11523" width="9.5703125" customWidth="1"/>
    <col min="11524" max="11524" width="12.140625" customWidth="1"/>
    <col min="11525" max="11525" width="13.140625" customWidth="1"/>
    <col min="11526" max="11526" width="12.85546875" customWidth="1"/>
    <col min="11527" max="11527" width="15.85546875" customWidth="1"/>
    <col min="11528" max="11528" width="14.7109375" customWidth="1"/>
    <col min="11529" max="11529" width="11" customWidth="1"/>
    <col min="11530" max="11530" width="8.85546875" customWidth="1"/>
    <col min="11531" max="11531" width="9.85546875" customWidth="1"/>
    <col min="11533" max="11533" width="8.28515625" customWidth="1"/>
    <col min="11534" max="11534" width="36.5703125" customWidth="1"/>
    <col min="11535" max="11535" width="11.85546875" customWidth="1"/>
    <col min="11536" max="11539" width="6.7109375" customWidth="1"/>
    <col min="11540" max="11540" width="15.85546875" customWidth="1"/>
    <col min="11541" max="11543" width="0" hidden="1" customWidth="1"/>
    <col min="11544" max="11544" width="13.140625" customWidth="1"/>
    <col min="11548" max="11549" width="12.140625" customWidth="1"/>
    <col min="11777" max="11777" width="14.42578125" customWidth="1"/>
    <col min="11778" max="11778" width="15.42578125" customWidth="1"/>
    <col min="11779" max="11779" width="9.5703125" customWidth="1"/>
    <col min="11780" max="11780" width="12.140625" customWidth="1"/>
    <col min="11781" max="11781" width="13.140625" customWidth="1"/>
    <col min="11782" max="11782" width="12.85546875" customWidth="1"/>
    <col min="11783" max="11783" width="15.85546875" customWidth="1"/>
    <col min="11784" max="11784" width="14.7109375" customWidth="1"/>
    <col min="11785" max="11785" width="11" customWidth="1"/>
    <col min="11786" max="11786" width="8.85546875" customWidth="1"/>
    <col min="11787" max="11787" width="9.85546875" customWidth="1"/>
    <col min="11789" max="11789" width="8.28515625" customWidth="1"/>
    <col min="11790" max="11790" width="36.5703125" customWidth="1"/>
    <col min="11791" max="11791" width="11.85546875" customWidth="1"/>
    <col min="11792" max="11795" width="6.7109375" customWidth="1"/>
    <col min="11796" max="11796" width="15.85546875" customWidth="1"/>
    <col min="11797" max="11799" width="0" hidden="1" customWidth="1"/>
    <col min="11800" max="11800" width="13.140625" customWidth="1"/>
    <col min="11804" max="11805" width="12.140625" customWidth="1"/>
    <col min="12033" max="12033" width="14.42578125" customWidth="1"/>
    <col min="12034" max="12034" width="15.42578125" customWidth="1"/>
    <col min="12035" max="12035" width="9.5703125" customWidth="1"/>
    <col min="12036" max="12036" width="12.140625" customWidth="1"/>
    <col min="12037" max="12037" width="13.140625" customWidth="1"/>
    <col min="12038" max="12038" width="12.85546875" customWidth="1"/>
    <col min="12039" max="12039" width="15.85546875" customWidth="1"/>
    <col min="12040" max="12040" width="14.7109375" customWidth="1"/>
    <col min="12041" max="12041" width="11" customWidth="1"/>
    <col min="12042" max="12042" width="8.85546875" customWidth="1"/>
    <col min="12043" max="12043" width="9.85546875" customWidth="1"/>
    <col min="12045" max="12045" width="8.28515625" customWidth="1"/>
    <col min="12046" max="12046" width="36.5703125" customWidth="1"/>
    <col min="12047" max="12047" width="11.85546875" customWidth="1"/>
    <col min="12048" max="12051" width="6.7109375" customWidth="1"/>
    <col min="12052" max="12052" width="15.85546875" customWidth="1"/>
    <col min="12053" max="12055" width="0" hidden="1" customWidth="1"/>
    <col min="12056" max="12056" width="13.140625" customWidth="1"/>
    <col min="12060" max="12061" width="12.140625" customWidth="1"/>
    <col min="12289" max="12289" width="14.42578125" customWidth="1"/>
    <col min="12290" max="12290" width="15.42578125" customWidth="1"/>
    <col min="12291" max="12291" width="9.5703125" customWidth="1"/>
    <col min="12292" max="12292" width="12.140625" customWidth="1"/>
    <col min="12293" max="12293" width="13.140625" customWidth="1"/>
    <col min="12294" max="12294" width="12.85546875" customWidth="1"/>
    <col min="12295" max="12295" width="15.85546875" customWidth="1"/>
    <col min="12296" max="12296" width="14.7109375" customWidth="1"/>
    <col min="12297" max="12297" width="11" customWidth="1"/>
    <col min="12298" max="12298" width="8.85546875" customWidth="1"/>
    <col min="12299" max="12299" width="9.85546875" customWidth="1"/>
    <col min="12301" max="12301" width="8.28515625" customWidth="1"/>
    <col min="12302" max="12302" width="36.5703125" customWidth="1"/>
    <col min="12303" max="12303" width="11.85546875" customWidth="1"/>
    <col min="12304" max="12307" width="6.7109375" customWidth="1"/>
    <col min="12308" max="12308" width="15.85546875" customWidth="1"/>
    <col min="12309" max="12311" width="0" hidden="1" customWidth="1"/>
    <col min="12312" max="12312" width="13.140625" customWidth="1"/>
    <col min="12316" max="12317" width="12.140625" customWidth="1"/>
    <col min="12545" max="12545" width="14.42578125" customWidth="1"/>
    <col min="12546" max="12546" width="15.42578125" customWidth="1"/>
    <col min="12547" max="12547" width="9.5703125" customWidth="1"/>
    <col min="12548" max="12548" width="12.140625" customWidth="1"/>
    <col min="12549" max="12549" width="13.140625" customWidth="1"/>
    <col min="12550" max="12550" width="12.85546875" customWidth="1"/>
    <col min="12551" max="12551" width="15.85546875" customWidth="1"/>
    <col min="12552" max="12552" width="14.7109375" customWidth="1"/>
    <col min="12553" max="12553" width="11" customWidth="1"/>
    <col min="12554" max="12554" width="8.85546875" customWidth="1"/>
    <col min="12555" max="12555" width="9.85546875" customWidth="1"/>
    <col min="12557" max="12557" width="8.28515625" customWidth="1"/>
    <col min="12558" max="12558" width="36.5703125" customWidth="1"/>
    <col min="12559" max="12559" width="11.85546875" customWidth="1"/>
    <col min="12560" max="12563" width="6.7109375" customWidth="1"/>
    <col min="12564" max="12564" width="15.85546875" customWidth="1"/>
    <col min="12565" max="12567" width="0" hidden="1" customWidth="1"/>
    <col min="12568" max="12568" width="13.140625" customWidth="1"/>
    <col min="12572" max="12573" width="12.140625" customWidth="1"/>
    <col min="12801" max="12801" width="14.42578125" customWidth="1"/>
    <col min="12802" max="12802" width="15.42578125" customWidth="1"/>
    <col min="12803" max="12803" width="9.5703125" customWidth="1"/>
    <col min="12804" max="12804" width="12.140625" customWidth="1"/>
    <col min="12805" max="12805" width="13.140625" customWidth="1"/>
    <col min="12806" max="12806" width="12.85546875" customWidth="1"/>
    <col min="12807" max="12807" width="15.85546875" customWidth="1"/>
    <col min="12808" max="12808" width="14.7109375" customWidth="1"/>
    <col min="12809" max="12809" width="11" customWidth="1"/>
    <col min="12810" max="12810" width="8.85546875" customWidth="1"/>
    <col min="12811" max="12811" width="9.85546875" customWidth="1"/>
    <col min="12813" max="12813" width="8.28515625" customWidth="1"/>
    <col min="12814" max="12814" width="36.5703125" customWidth="1"/>
    <col min="12815" max="12815" width="11.85546875" customWidth="1"/>
    <col min="12816" max="12819" width="6.7109375" customWidth="1"/>
    <col min="12820" max="12820" width="15.85546875" customWidth="1"/>
    <col min="12821" max="12823" width="0" hidden="1" customWidth="1"/>
    <col min="12824" max="12824" width="13.140625" customWidth="1"/>
    <col min="12828" max="12829" width="12.140625" customWidth="1"/>
    <col min="13057" max="13057" width="14.42578125" customWidth="1"/>
    <col min="13058" max="13058" width="15.42578125" customWidth="1"/>
    <col min="13059" max="13059" width="9.5703125" customWidth="1"/>
    <col min="13060" max="13060" width="12.140625" customWidth="1"/>
    <col min="13061" max="13061" width="13.140625" customWidth="1"/>
    <col min="13062" max="13062" width="12.85546875" customWidth="1"/>
    <col min="13063" max="13063" width="15.85546875" customWidth="1"/>
    <col min="13064" max="13064" width="14.7109375" customWidth="1"/>
    <col min="13065" max="13065" width="11" customWidth="1"/>
    <col min="13066" max="13066" width="8.85546875" customWidth="1"/>
    <col min="13067" max="13067" width="9.85546875" customWidth="1"/>
    <col min="13069" max="13069" width="8.28515625" customWidth="1"/>
    <col min="13070" max="13070" width="36.5703125" customWidth="1"/>
    <col min="13071" max="13071" width="11.85546875" customWidth="1"/>
    <col min="13072" max="13075" width="6.7109375" customWidth="1"/>
    <col min="13076" max="13076" width="15.85546875" customWidth="1"/>
    <col min="13077" max="13079" width="0" hidden="1" customWidth="1"/>
    <col min="13080" max="13080" width="13.140625" customWidth="1"/>
    <col min="13084" max="13085" width="12.140625" customWidth="1"/>
    <col min="13313" max="13313" width="14.42578125" customWidth="1"/>
    <col min="13314" max="13314" width="15.42578125" customWidth="1"/>
    <col min="13315" max="13315" width="9.5703125" customWidth="1"/>
    <col min="13316" max="13316" width="12.140625" customWidth="1"/>
    <col min="13317" max="13317" width="13.140625" customWidth="1"/>
    <col min="13318" max="13318" width="12.85546875" customWidth="1"/>
    <col min="13319" max="13319" width="15.85546875" customWidth="1"/>
    <col min="13320" max="13320" width="14.7109375" customWidth="1"/>
    <col min="13321" max="13321" width="11" customWidth="1"/>
    <col min="13322" max="13322" width="8.85546875" customWidth="1"/>
    <col min="13323" max="13323" width="9.85546875" customWidth="1"/>
    <col min="13325" max="13325" width="8.28515625" customWidth="1"/>
    <col min="13326" max="13326" width="36.5703125" customWidth="1"/>
    <col min="13327" max="13327" width="11.85546875" customWidth="1"/>
    <col min="13328" max="13331" width="6.7109375" customWidth="1"/>
    <col min="13332" max="13332" width="15.85546875" customWidth="1"/>
    <col min="13333" max="13335" width="0" hidden="1" customWidth="1"/>
    <col min="13336" max="13336" width="13.140625" customWidth="1"/>
    <col min="13340" max="13341" width="12.140625" customWidth="1"/>
    <col min="13569" max="13569" width="14.42578125" customWidth="1"/>
    <col min="13570" max="13570" width="15.42578125" customWidth="1"/>
    <col min="13571" max="13571" width="9.5703125" customWidth="1"/>
    <col min="13572" max="13572" width="12.140625" customWidth="1"/>
    <col min="13573" max="13573" width="13.140625" customWidth="1"/>
    <col min="13574" max="13574" width="12.85546875" customWidth="1"/>
    <col min="13575" max="13575" width="15.85546875" customWidth="1"/>
    <col min="13576" max="13576" width="14.7109375" customWidth="1"/>
    <col min="13577" max="13577" width="11" customWidth="1"/>
    <col min="13578" max="13578" width="8.85546875" customWidth="1"/>
    <col min="13579" max="13579" width="9.85546875" customWidth="1"/>
    <col min="13581" max="13581" width="8.28515625" customWidth="1"/>
    <col min="13582" max="13582" width="36.5703125" customWidth="1"/>
    <col min="13583" max="13583" width="11.85546875" customWidth="1"/>
    <col min="13584" max="13587" width="6.7109375" customWidth="1"/>
    <col min="13588" max="13588" width="15.85546875" customWidth="1"/>
    <col min="13589" max="13591" width="0" hidden="1" customWidth="1"/>
    <col min="13592" max="13592" width="13.140625" customWidth="1"/>
    <col min="13596" max="13597" width="12.140625" customWidth="1"/>
    <col min="13825" max="13825" width="14.42578125" customWidth="1"/>
    <col min="13826" max="13826" width="15.42578125" customWidth="1"/>
    <col min="13827" max="13827" width="9.5703125" customWidth="1"/>
    <col min="13828" max="13828" width="12.140625" customWidth="1"/>
    <col min="13829" max="13829" width="13.140625" customWidth="1"/>
    <col min="13830" max="13830" width="12.85546875" customWidth="1"/>
    <col min="13831" max="13831" width="15.85546875" customWidth="1"/>
    <col min="13832" max="13832" width="14.7109375" customWidth="1"/>
    <col min="13833" max="13833" width="11" customWidth="1"/>
    <col min="13834" max="13834" width="8.85546875" customWidth="1"/>
    <col min="13835" max="13835" width="9.85546875" customWidth="1"/>
    <col min="13837" max="13837" width="8.28515625" customWidth="1"/>
    <col min="13838" max="13838" width="36.5703125" customWidth="1"/>
    <col min="13839" max="13839" width="11.85546875" customWidth="1"/>
    <col min="13840" max="13843" width="6.7109375" customWidth="1"/>
    <col min="13844" max="13844" width="15.85546875" customWidth="1"/>
    <col min="13845" max="13847" width="0" hidden="1" customWidth="1"/>
    <col min="13848" max="13848" width="13.140625" customWidth="1"/>
    <col min="13852" max="13853" width="12.140625" customWidth="1"/>
    <col min="14081" max="14081" width="14.42578125" customWidth="1"/>
    <col min="14082" max="14082" width="15.42578125" customWidth="1"/>
    <col min="14083" max="14083" width="9.5703125" customWidth="1"/>
    <col min="14084" max="14084" width="12.140625" customWidth="1"/>
    <col min="14085" max="14085" width="13.140625" customWidth="1"/>
    <col min="14086" max="14086" width="12.85546875" customWidth="1"/>
    <col min="14087" max="14087" width="15.85546875" customWidth="1"/>
    <col min="14088" max="14088" width="14.7109375" customWidth="1"/>
    <col min="14089" max="14089" width="11" customWidth="1"/>
    <col min="14090" max="14090" width="8.85546875" customWidth="1"/>
    <col min="14091" max="14091" width="9.85546875" customWidth="1"/>
    <col min="14093" max="14093" width="8.28515625" customWidth="1"/>
    <col min="14094" max="14094" width="36.5703125" customWidth="1"/>
    <col min="14095" max="14095" width="11.85546875" customWidth="1"/>
    <col min="14096" max="14099" width="6.7109375" customWidth="1"/>
    <col min="14100" max="14100" width="15.85546875" customWidth="1"/>
    <col min="14101" max="14103" width="0" hidden="1" customWidth="1"/>
    <col min="14104" max="14104" width="13.140625" customWidth="1"/>
    <col min="14108" max="14109" width="12.140625" customWidth="1"/>
    <col min="14337" max="14337" width="14.42578125" customWidth="1"/>
    <col min="14338" max="14338" width="15.42578125" customWidth="1"/>
    <col min="14339" max="14339" width="9.5703125" customWidth="1"/>
    <col min="14340" max="14340" width="12.140625" customWidth="1"/>
    <col min="14341" max="14341" width="13.140625" customWidth="1"/>
    <col min="14342" max="14342" width="12.85546875" customWidth="1"/>
    <col min="14343" max="14343" width="15.85546875" customWidth="1"/>
    <col min="14344" max="14344" width="14.7109375" customWidth="1"/>
    <col min="14345" max="14345" width="11" customWidth="1"/>
    <col min="14346" max="14346" width="8.85546875" customWidth="1"/>
    <col min="14347" max="14347" width="9.85546875" customWidth="1"/>
    <col min="14349" max="14349" width="8.28515625" customWidth="1"/>
    <col min="14350" max="14350" width="36.5703125" customWidth="1"/>
    <col min="14351" max="14351" width="11.85546875" customWidth="1"/>
    <col min="14352" max="14355" width="6.7109375" customWidth="1"/>
    <col min="14356" max="14356" width="15.85546875" customWidth="1"/>
    <col min="14357" max="14359" width="0" hidden="1" customWidth="1"/>
    <col min="14360" max="14360" width="13.140625" customWidth="1"/>
    <col min="14364" max="14365" width="12.140625" customWidth="1"/>
    <col min="14593" max="14593" width="14.42578125" customWidth="1"/>
    <col min="14594" max="14594" width="15.42578125" customWidth="1"/>
    <col min="14595" max="14595" width="9.5703125" customWidth="1"/>
    <col min="14596" max="14596" width="12.140625" customWidth="1"/>
    <col min="14597" max="14597" width="13.140625" customWidth="1"/>
    <col min="14598" max="14598" width="12.85546875" customWidth="1"/>
    <col min="14599" max="14599" width="15.85546875" customWidth="1"/>
    <col min="14600" max="14600" width="14.7109375" customWidth="1"/>
    <col min="14601" max="14601" width="11" customWidth="1"/>
    <col min="14602" max="14602" width="8.85546875" customWidth="1"/>
    <col min="14603" max="14603" width="9.85546875" customWidth="1"/>
    <col min="14605" max="14605" width="8.28515625" customWidth="1"/>
    <col min="14606" max="14606" width="36.5703125" customWidth="1"/>
    <col min="14607" max="14607" width="11.85546875" customWidth="1"/>
    <col min="14608" max="14611" width="6.7109375" customWidth="1"/>
    <col min="14612" max="14612" width="15.85546875" customWidth="1"/>
    <col min="14613" max="14615" width="0" hidden="1" customWidth="1"/>
    <col min="14616" max="14616" width="13.140625" customWidth="1"/>
    <col min="14620" max="14621" width="12.140625" customWidth="1"/>
    <col min="14849" max="14849" width="14.42578125" customWidth="1"/>
    <col min="14850" max="14850" width="15.42578125" customWidth="1"/>
    <col min="14851" max="14851" width="9.5703125" customWidth="1"/>
    <col min="14852" max="14852" width="12.140625" customWidth="1"/>
    <col min="14853" max="14853" width="13.140625" customWidth="1"/>
    <col min="14854" max="14854" width="12.85546875" customWidth="1"/>
    <col min="14855" max="14855" width="15.85546875" customWidth="1"/>
    <col min="14856" max="14856" width="14.7109375" customWidth="1"/>
    <col min="14857" max="14857" width="11" customWidth="1"/>
    <col min="14858" max="14858" width="8.85546875" customWidth="1"/>
    <col min="14859" max="14859" width="9.85546875" customWidth="1"/>
    <col min="14861" max="14861" width="8.28515625" customWidth="1"/>
    <col min="14862" max="14862" width="36.5703125" customWidth="1"/>
    <col min="14863" max="14863" width="11.85546875" customWidth="1"/>
    <col min="14864" max="14867" width="6.7109375" customWidth="1"/>
    <col min="14868" max="14868" width="15.85546875" customWidth="1"/>
    <col min="14869" max="14871" width="0" hidden="1" customWidth="1"/>
    <col min="14872" max="14872" width="13.140625" customWidth="1"/>
    <col min="14876" max="14877" width="12.140625" customWidth="1"/>
    <col min="15105" max="15105" width="14.42578125" customWidth="1"/>
    <col min="15106" max="15106" width="15.42578125" customWidth="1"/>
    <col min="15107" max="15107" width="9.5703125" customWidth="1"/>
    <col min="15108" max="15108" width="12.140625" customWidth="1"/>
    <col min="15109" max="15109" width="13.140625" customWidth="1"/>
    <col min="15110" max="15110" width="12.85546875" customWidth="1"/>
    <col min="15111" max="15111" width="15.85546875" customWidth="1"/>
    <col min="15112" max="15112" width="14.7109375" customWidth="1"/>
    <col min="15113" max="15113" width="11" customWidth="1"/>
    <col min="15114" max="15114" width="8.85546875" customWidth="1"/>
    <col min="15115" max="15115" width="9.85546875" customWidth="1"/>
    <col min="15117" max="15117" width="8.28515625" customWidth="1"/>
    <col min="15118" max="15118" width="36.5703125" customWidth="1"/>
    <col min="15119" max="15119" width="11.85546875" customWidth="1"/>
    <col min="15120" max="15123" width="6.7109375" customWidth="1"/>
    <col min="15124" max="15124" width="15.85546875" customWidth="1"/>
    <col min="15125" max="15127" width="0" hidden="1" customWidth="1"/>
    <col min="15128" max="15128" width="13.140625" customWidth="1"/>
    <col min="15132" max="15133" width="12.140625" customWidth="1"/>
    <col min="15361" max="15361" width="14.42578125" customWidth="1"/>
    <col min="15362" max="15362" width="15.42578125" customWidth="1"/>
    <col min="15363" max="15363" width="9.5703125" customWidth="1"/>
    <col min="15364" max="15364" width="12.140625" customWidth="1"/>
    <col min="15365" max="15365" width="13.140625" customWidth="1"/>
    <col min="15366" max="15366" width="12.85546875" customWidth="1"/>
    <col min="15367" max="15367" width="15.85546875" customWidth="1"/>
    <col min="15368" max="15368" width="14.7109375" customWidth="1"/>
    <col min="15369" max="15369" width="11" customWidth="1"/>
    <col min="15370" max="15370" width="8.85546875" customWidth="1"/>
    <col min="15371" max="15371" width="9.85546875" customWidth="1"/>
    <col min="15373" max="15373" width="8.28515625" customWidth="1"/>
    <col min="15374" max="15374" width="36.5703125" customWidth="1"/>
    <col min="15375" max="15375" width="11.85546875" customWidth="1"/>
    <col min="15376" max="15379" width="6.7109375" customWidth="1"/>
    <col min="15380" max="15380" width="15.85546875" customWidth="1"/>
    <col min="15381" max="15383" width="0" hidden="1" customWidth="1"/>
    <col min="15384" max="15384" width="13.140625" customWidth="1"/>
    <col min="15388" max="15389" width="12.140625" customWidth="1"/>
    <col min="15617" max="15617" width="14.42578125" customWidth="1"/>
    <col min="15618" max="15618" width="15.42578125" customWidth="1"/>
    <col min="15619" max="15619" width="9.5703125" customWidth="1"/>
    <col min="15620" max="15620" width="12.140625" customWidth="1"/>
    <col min="15621" max="15621" width="13.140625" customWidth="1"/>
    <col min="15622" max="15622" width="12.85546875" customWidth="1"/>
    <col min="15623" max="15623" width="15.85546875" customWidth="1"/>
    <col min="15624" max="15624" width="14.7109375" customWidth="1"/>
    <col min="15625" max="15625" width="11" customWidth="1"/>
    <col min="15626" max="15626" width="8.85546875" customWidth="1"/>
    <col min="15627" max="15627" width="9.85546875" customWidth="1"/>
    <col min="15629" max="15629" width="8.28515625" customWidth="1"/>
    <col min="15630" max="15630" width="36.5703125" customWidth="1"/>
    <col min="15631" max="15631" width="11.85546875" customWidth="1"/>
    <col min="15632" max="15635" width="6.7109375" customWidth="1"/>
    <col min="15636" max="15636" width="15.85546875" customWidth="1"/>
    <col min="15637" max="15639" width="0" hidden="1" customWidth="1"/>
    <col min="15640" max="15640" width="13.140625" customWidth="1"/>
    <col min="15644" max="15645" width="12.140625" customWidth="1"/>
    <col min="15873" max="15873" width="14.42578125" customWidth="1"/>
    <col min="15874" max="15874" width="15.42578125" customWidth="1"/>
    <col min="15875" max="15875" width="9.5703125" customWidth="1"/>
    <col min="15876" max="15876" width="12.140625" customWidth="1"/>
    <col min="15877" max="15877" width="13.140625" customWidth="1"/>
    <col min="15878" max="15878" width="12.85546875" customWidth="1"/>
    <col min="15879" max="15879" width="15.85546875" customWidth="1"/>
    <col min="15880" max="15880" width="14.7109375" customWidth="1"/>
    <col min="15881" max="15881" width="11" customWidth="1"/>
    <col min="15882" max="15882" width="8.85546875" customWidth="1"/>
    <col min="15883" max="15883" width="9.85546875" customWidth="1"/>
    <col min="15885" max="15885" width="8.28515625" customWidth="1"/>
    <col min="15886" max="15886" width="36.5703125" customWidth="1"/>
    <col min="15887" max="15887" width="11.85546875" customWidth="1"/>
    <col min="15888" max="15891" width="6.7109375" customWidth="1"/>
    <col min="15892" max="15892" width="15.85546875" customWidth="1"/>
    <col min="15893" max="15895" width="0" hidden="1" customWidth="1"/>
    <col min="15896" max="15896" width="13.140625" customWidth="1"/>
    <col min="15900" max="15901" width="12.140625" customWidth="1"/>
    <col min="16129" max="16129" width="14.42578125" customWidth="1"/>
    <col min="16130" max="16130" width="15.42578125" customWidth="1"/>
    <col min="16131" max="16131" width="9.5703125" customWidth="1"/>
    <col min="16132" max="16132" width="12.140625" customWidth="1"/>
    <col min="16133" max="16133" width="13.140625" customWidth="1"/>
    <col min="16134" max="16134" width="12.85546875" customWidth="1"/>
    <col min="16135" max="16135" width="15.85546875" customWidth="1"/>
    <col min="16136" max="16136" width="14.7109375" customWidth="1"/>
    <col min="16137" max="16137" width="11" customWidth="1"/>
    <col min="16138" max="16138" width="8.85546875" customWidth="1"/>
    <col min="16139" max="16139" width="9.85546875" customWidth="1"/>
    <col min="16141" max="16141" width="8.28515625" customWidth="1"/>
    <col min="16142" max="16142" width="36.5703125" customWidth="1"/>
    <col min="16143" max="16143" width="11.85546875" customWidth="1"/>
    <col min="16144" max="16147" width="6.7109375" customWidth="1"/>
    <col min="16148" max="16148" width="15.85546875" customWidth="1"/>
    <col min="16149" max="16151" width="0" hidden="1" customWidth="1"/>
    <col min="16152" max="16152" width="13.140625" customWidth="1"/>
    <col min="16156" max="16157" width="12.140625" customWidth="1"/>
  </cols>
  <sheetData>
    <row r="1" spans="1:9" ht="25.5" x14ac:dyDescent="0.35">
      <c r="B1" s="169" t="s">
        <v>211</v>
      </c>
      <c r="C1" s="170"/>
      <c r="D1" s="171"/>
      <c r="E1" s="171"/>
    </row>
    <row r="3" spans="1:9" ht="15.75" x14ac:dyDescent="0.25">
      <c r="A3" s="172" t="s">
        <v>212</v>
      </c>
      <c r="B3" s="173" t="s">
        <v>213</v>
      </c>
    </row>
    <row r="4" spans="1:9" x14ac:dyDescent="0.2">
      <c r="A4" s="174"/>
      <c r="B4" s="174"/>
      <c r="C4" s="175" t="s">
        <v>171</v>
      </c>
      <c r="D4" s="176">
        <v>175</v>
      </c>
      <c r="E4" s="175" t="s">
        <v>3</v>
      </c>
      <c r="F4" s="174"/>
      <c r="G4" s="174"/>
      <c r="H4" s="174"/>
      <c r="I4" s="174"/>
    </row>
    <row r="5" spans="1:9" x14ac:dyDescent="0.2">
      <c r="A5" s="174"/>
      <c r="B5" s="174" t="s">
        <v>214</v>
      </c>
      <c r="C5" s="174"/>
      <c r="D5" s="177">
        <v>2.2999999999999998</v>
      </c>
      <c r="E5" s="174" t="s">
        <v>215</v>
      </c>
      <c r="F5" s="174"/>
      <c r="G5" s="174"/>
      <c r="H5" s="174"/>
      <c r="I5" s="174"/>
    </row>
    <row r="6" spans="1:9" x14ac:dyDescent="0.2">
      <c r="A6" s="174"/>
      <c r="B6" s="174"/>
      <c r="C6" s="174"/>
      <c r="D6" s="177"/>
      <c r="E6" s="174"/>
      <c r="F6" s="174"/>
      <c r="G6" s="174"/>
      <c r="H6" s="174"/>
      <c r="I6" s="174"/>
    </row>
    <row r="7" spans="1:9" x14ac:dyDescent="0.2">
      <c r="A7" s="174"/>
      <c r="B7" s="174"/>
      <c r="C7" s="174"/>
      <c r="D7" s="177"/>
      <c r="E7" s="174"/>
      <c r="F7" s="174"/>
      <c r="G7" s="174"/>
      <c r="H7" s="174"/>
      <c r="I7" s="174"/>
    </row>
    <row r="8" spans="1:9" x14ac:dyDescent="0.2">
      <c r="A8" s="174"/>
      <c r="B8" s="17" t="s">
        <v>216</v>
      </c>
      <c r="C8" s="17"/>
      <c r="D8" s="178"/>
      <c r="F8" s="174"/>
      <c r="G8" s="174"/>
      <c r="H8" s="174"/>
      <c r="I8" s="174"/>
    </row>
    <row r="9" spans="1:9" x14ac:dyDescent="0.2">
      <c r="A9" s="174"/>
      <c r="B9" t="s">
        <v>20</v>
      </c>
      <c r="D9" s="178">
        <v>1.8</v>
      </c>
      <c r="E9" t="s">
        <v>215</v>
      </c>
      <c r="F9" s="174"/>
      <c r="G9" s="174"/>
      <c r="H9" s="174"/>
      <c r="I9" s="174"/>
    </row>
    <row r="10" spans="1:9" x14ac:dyDescent="0.2">
      <c r="A10" s="174"/>
      <c r="B10" s="174" t="s">
        <v>217</v>
      </c>
      <c r="D10" s="178">
        <v>30</v>
      </c>
      <c r="E10" s="174" t="s">
        <v>218</v>
      </c>
      <c r="F10" t="s">
        <v>219</v>
      </c>
      <c r="H10" s="174"/>
      <c r="I10" s="174"/>
    </row>
    <row r="11" spans="1:9" s="179" customFormat="1" x14ac:dyDescent="0.2">
      <c r="A11" s="174"/>
      <c r="B11" s="174" t="s">
        <v>220</v>
      </c>
      <c r="C11"/>
      <c r="D11" s="178">
        <v>30</v>
      </c>
      <c r="E11" s="174" t="s">
        <v>218</v>
      </c>
      <c r="F11" t="s">
        <v>221</v>
      </c>
      <c r="G11"/>
      <c r="H11" s="174"/>
      <c r="I11" s="174"/>
    </row>
    <row r="12" spans="1:9" s="179" customFormat="1" x14ac:dyDescent="0.2">
      <c r="A12" s="174"/>
      <c r="B12" s="174" t="s">
        <v>222</v>
      </c>
      <c r="C12"/>
      <c r="D12" s="178">
        <v>4.5</v>
      </c>
      <c r="E12" s="174" t="s">
        <v>3</v>
      </c>
      <c r="F12" t="s">
        <v>223</v>
      </c>
      <c r="G12"/>
      <c r="H12" s="174"/>
      <c r="I12" s="174"/>
    </row>
    <row r="13" spans="1:9" s="179" customFormat="1" x14ac:dyDescent="0.2">
      <c r="A13" s="174"/>
      <c r="B13" s="174" t="s">
        <v>224</v>
      </c>
      <c r="C13"/>
      <c r="D13" s="180">
        <f>F66</f>
        <v>0.36396058893800748</v>
      </c>
      <c r="E13" s="174"/>
      <c r="F13"/>
      <c r="G13"/>
      <c r="H13" s="174"/>
      <c r="I13" s="174"/>
    </row>
    <row r="14" spans="1:9" s="179" customFormat="1" x14ac:dyDescent="0.2">
      <c r="A14" s="174"/>
      <c r="B14" s="174" t="s">
        <v>225</v>
      </c>
      <c r="C14"/>
      <c r="D14" s="178">
        <v>23.75</v>
      </c>
      <c r="E14" s="174"/>
      <c r="F14"/>
      <c r="G14"/>
      <c r="H14" s="174"/>
      <c r="I14" s="174"/>
    </row>
    <row r="15" spans="1:9" s="179" customFormat="1" x14ac:dyDescent="0.2">
      <c r="A15" s="174"/>
      <c r="B15" s="174" t="s">
        <v>226</v>
      </c>
      <c r="C15"/>
      <c r="D15" s="178">
        <v>1.5</v>
      </c>
      <c r="E15" s="181" t="s">
        <v>227</v>
      </c>
      <c r="F15"/>
      <c r="G15"/>
      <c r="H15" s="174"/>
      <c r="I15" s="174"/>
    </row>
    <row r="16" spans="1:9" s="179" customFormat="1" x14ac:dyDescent="0.2">
      <c r="A16" s="174"/>
      <c r="B16" s="174"/>
      <c r="C16"/>
      <c r="D16" s="178"/>
      <c r="E16" s="174"/>
      <c r="F16"/>
      <c r="G16"/>
      <c r="H16" s="174"/>
      <c r="I16" s="174"/>
    </row>
    <row r="17" spans="1:19" x14ac:dyDescent="0.2">
      <c r="A17" s="174"/>
      <c r="B17" s="174" t="s">
        <v>228</v>
      </c>
      <c r="D17" s="178"/>
      <c r="E17" s="174"/>
      <c r="F17" s="179"/>
      <c r="G17" s="179"/>
      <c r="H17" s="174"/>
      <c r="I17" s="174"/>
    </row>
    <row r="18" spans="1:19" x14ac:dyDescent="0.2">
      <c r="A18" s="174"/>
      <c r="B18" s="174" t="s">
        <v>229</v>
      </c>
      <c r="D18" s="178">
        <v>3</v>
      </c>
      <c r="E18" s="174"/>
      <c r="F18" s="179" t="s">
        <v>230</v>
      </c>
      <c r="G18" s="179"/>
      <c r="H18" s="174"/>
      <c r="I18" s="174"/>
    </row>
    <row r="19" spans="1:19" x14ac:dyDescent="0.2">
      <c r="A19" s="174"/>
      <c r="B19" s="174" t="s">
        <v>231</v>
      </c>
      <c r="C19" s="179"/>
      <c r="D19" s="176">
        <v>0.4</v>
      </c>
      <c r="E19" s="174" t="s">
        <v>232</v>
      </c>
      <c r="F19" t="s">
        <v>233</v>
      </c>
      <c r="H19" s="174"/>
      <c r="I19" s="174"/>
    </row>
    <row r="20" spans="1:19" x14ac:dyDescent="0.2">
      <c r="A20" s="174"/>
      <c r="B20" s="174"/>
      <c r="C20" s="179"/>
      <c r="D20" s="182"/>
      <c r="E20" s="174"/>
      <c r="H20" s="174"/>
      <c r="I20" s="174"/>
    </row>
    <row r="21" spans="1:19" x14ac:dyDescent="0.2">
      <c r="A21" s="174"/>
      <c r="B21" s="174"/>
      <c r="C21" s="179"/>
      <c r="D21" s="182"/>
      <c r="E21" s="174"/>
      <c r="H21" s="174"/>
      <c r="I21" s="174"/>
    </row>
    <row r="22" spans="1:19" x14ac:dyDescent="0.2">
      <c r="A22" s="174"/>
      <c r="B22" s="174"/>
      <c r="C22" s="179"/>
      <c r="D22" s="179"/>
      <c r="E22" s="174"/>
      <c r="H22" s="174"/>
      <c r="I22" s="174"/>
    </row>
    <row r="23" spans="1:19" x14ac:dyDescent="0.2">
      <c r="A23" s="174"/>
      <c r="B23" s="174"/>
      <c r="C23" s="174"/>
      <c r="E23" s="174"/>
      <c r="F23" s="174"/>
      <c r="G23" s="174"/>
      <c r="H23" s="174"/>
      <c r="I23" s="174"/>
    </row>
    <row r="24" spans="1:19" x14ac:dyDescent="0.2">
      <c r="B24" s="183" t="s">
        <v>234</v>
      </c>
      <c r="D24" s="174"/>
    </row>
    <row r="25" spans="1:19" ht="13.5" thickBot="1" x14ac:dyDescent="0.25"/>
    <row r="26" spans="1:19" ht="13.5" customHeight="1" thickTop="1" thickBot="1" x14ac:dyDescent="0.25">
      <c r="B26" s="591" t="s">
        <v>235</v>
      </c>
      <c r="C26" s="184" t="s">
        <v>179</v>
      </c>
      <c r="D26" s="184" t="s">
        <v>41</v>
      </c>
      <c r="E26" s="184" t="s">
        <v>40</v>
      </c>
      <c r="F26" s="184" t="s">
        <v>28</v>
      </c>
      <c r="G26" s="185" t="s">
        <v>93</v>
      </c>
    </row>
    <row r="27" spans="1:19" ht="14.25" thickTop="1" thickBot="1" x14ac:dyDescent="0.25">
      <c r="B27" s="592"/>
      <c r="C27" s="593"/>
      <c r="D27" s="594"/>
      <c r="E27" s="594"/>
      <c r="F27" s="594"/>
      <c r="G27" s="595"/>
    </row>
    <row r="28" spans="1:19" ht="14.25" thickTop="1" thickBot="1" x14ac:dyDescent="0.25">
      <c r="B28" s="186" t="s">
        <v>236</v>
      </c>
      <c r="C28" s="187">
        <v>1.25</v>
      </c>
      <c r="D28" s="187">
        <v>1.5</v>
      </c>
      <c r="E28" s="187">
        <v>1.35</v>
      </c>
      <c r="F28" s="187">
        <v>1.75</v>
      </c>
      <c r="G28" s="188">
        <v>0</v>
      </c>
    </row>
    <row r="29" spans="1:19" s="179" customFormat="1" ht="14.25" thickTop="1" thickBot="1" x14ac:dyDescent="0.25">
      <c r="B29" s="186" t="s">
        <v>237</v>
      </c>
      <c r="C29" s="187">
        <v>1</v>
      </c>
      <c r="D29" s="187">
        <v>1</v>
      </c>
      <c r="E29" s="187">
        <v>1</v>
      </c>
      <c r="F29" s="187">
        <v>1</v>
      </c>
      <c r="G29" s="188">
        <v>0</v>
      </c>
      <c r="I29"/>
      <c r="J29"/>
      <c r="K29"/>
      <c r="L29"/>
      <c r="M29"/>
      <c r="N29"/>
      <c r="O29"/>
      <c r="P29"/>
      <c r="Q29"/>
      <c r="R29"/>
      <c r="S29"/>
    </row>
    <row r="30" spans="1:19" s="179" customFormat="1" ht="14.25" thickTop="1" thickBot="1" x14ac:dyDescent="0.25">
      <c r="B30" s="189" t="s">
        <v>238</v>
      </c>
      <c r="C30" s="190">
        <v>1.25</v>
      </c>
      <c r="D30" s="190">
        <v>1.5</v>
      </c>
      <c r="E30" s="190">
        <v>1.35</v>
      </c>
      <c r="F30" s="190">
        <v>0.5</v>
      </c>
      <c r="G30" s="191">
        <v>1</v>
      </c>
      <c r="I30"/>
      <c r="J30"/>
      <c r="K30"/>
      <c r="L30"/>
      <c r="M30"/>
      <c r="N30"/>
      <c r="O30"/>
      <c r="P30"/>
      <c r="Q30"/>
      <c r="R30"/>
      <c r="S30"/>
    </row>
    <row r="31" spans="1:19" s="179" customFormat="1" ht="13.5" thickTop="1" x14ac:dyDescent="0.2">
      <c r="A31" s="192"/>
      <c r="B31"/>
      <c r="C31"/>
      <c r="D31"/>
      <c r="E31"/>
      <c r="F31"/>
      <c r="G31"/>
      <c r="I31"/>
      <c r="J31"/>
      <c r="K31"/>
      <c r="L31"/>
      <c r="M31"/>
      <c r="N31"/>
      <c r="O31"/>
      <c r="P31"/>
      <c r="Q31"/>
      <c r="R31"/>
      <c r="S31"/>
    </row>
    <row r="32" spans="1:19" s="179" customFormat="1" x14ac:dyDescent="0.2">
      <c r="A32" s="192"/>
      <c r="B32"/>
      <c r="C32"/>
      <c r="D32"/>
      <c r="E32"/>
      <c r="F32"/>
      <c r="G32"/>
      <c r="I32"/>
      <c r="J32"/>
      <c r="K32"/>
      <c r="L32"/>
      <c r="M32"/>
      <c r="N32"/>
      <c r="O32"/>
      <c r="P32"/>
      <c r="Q32"/>
      <c r="R32"/>
      <c r="S32"/>
    </row>
    <row r="33" spans="1:19" s="179" customFormat="1" x14ac:dyDescent="0.2">
      <c r="A33" s="192"/>
      <c r="B33"/>
      <c r="C33"/>
      <c r="D33"/>
      <c r="E33"/>
      <c r="F33"/>
      <c r="G33"/>
      <c r="I33"/>
      <c r="J33"/>
      <c r="K33"/>
      <c r="L33"/>
      <c r="M33"/>
      <c r="N33"/>
      <c r="O33"/>
      <c r="P33"/>
      <c r="Q33"/>
      <c r="R33"/>
      <c r="S33"/>
    </row>
    <row r="34" spans="1:19" s="179" customFormat="1" x14ac:dyDescent="0.2">
      <c r="A34" s="192"/>
      <c r="B34"/>
      <c r="C34"/>
      <c r="D34"/>
      <c r="E34"/>
      <c r="F34"/>
      <c r="G34"/>
      <c r="I34"/>
      <c r="J34"/>
      <c r="K34"/>
      <c r="L34"/>
      <c r="M34"/>
      <c r="N34"/>
      <c r="O34"/>
      <c r="P34"/>
      <c r="Q34"/>
      <c r="R34"/>
      <c r="S34"/>
    </row>
    <row r="35" spans="1:19" s="179" customFormat="1" ht="13.5" thickBot="1" x14ac:dyDescent="0.25">
      <c r="A35" s="192"/>
      <c r="B35"/>
      <c r="C35"/>
      <c r="D35"/>
      <c r="E35"/>
      <c r="F35"/>
      <c r="G35"/>
      <c r="I35"/>
      <c r="J35"/>
      <c r="K35"/>
      <c r="L35"/>
      <c r="M35"/>
      <c r="N35"/>
      <c r="O35"/>
      <c r="P35"/>
      <c r="Q35"/>
      <c r="R35"/>
      <c r="S35"/>
    </row>
    <row r="36" spans="1:19" ht="12.75" customHeight="1" thickTop="1" x14ac:dyDescent="0.2">
      <c r="B36" s="193" t="s">
        <v>239</v>
      </c>
      <c r="C36" s="596" t="s">
        <v>240</v>
      </c>
      <c r="D36" s="587" t="s">
        <v>241</v>
      </c>
      <c r="E36" s="587"/>
      <c r="F36" s="587"/>
      <c r="G36" s="598" t="s">
        <v>242</v>
      </c>
      <c r="H36" s="587" t="s">
        <v>243</v>
      </c>
      <c r="I36" s="588"/>
      <c r="J36" s="192"/>
      <c r="L36" s="194"/>
      <c r="M36" s="195"/>
    </row>
    <row r="37" spans="1:19" ht="12.75" customHeight="1" x14ac:dyDescent="0.2">
      <c r="C37" s="597"/>
      <c r="D37" s="589"/>
      <c r="E37" s="589"/>
      <c r="F37" s="589"/>
      <c r="G37" s="599"/>
      <c r="H37" s="589"/>
      <c r="I37" s="590"/>
      <c r="J37" s="192"/>
      <c r="L37" s="194"/>
      <c r="M37" s="195"/>
    </row>
    <row r="38" spans="1:19" ht="12.75" customHeight="1" x14ac:dyDescent="0.2">
      <c r="C38" s="597" t="s">
        <v>244</v>
      </c>
      <c r="D38" s="589" t="s">
        <v>245</v>
      </c>
      <c r="E38" s="589"/>
      <c r="F38" s="589"/>
      <c r="G38" s="599" t="s">
        <v>246</v>
      </c>
      <c r="H38" s="589" t="s">
        <v>247</v>
      </c>
      <c r="I38" s="590"/>
      <c r="J38" s="192"/>
      <c r="L38" s="194"/>
      <c r="M38" s="195"/>
    </row>
    <row r="39" spans="1:19" ht="12.75" customHeight="1" x14ac:dyDescent="0.2">
      <c r="C39" s="597"/>
      <c r="D39" s="589"/>
      <c r="E39" s="589"/>
      <c r="F39" s="589"/>
      <c r="G39" s="599"/>
      <c r="H39" s="589"/>
      <c r="I39" s="590"/>
      <c r="J39" s="192"/>
      <c r="L39" s="194"/>
      <c r="M39" s="195"/>
    </row>
    <row r="40" spans="1:19" ht="12.75" customHeight="1" x14ac:dyDescent="0.2">
      <c r="C40" s="597" t="s">
        <v>244</v>
      </c>
      <c r="D40" s="589" t="s">
        <v>245</v>
      </c>
      <c r="E40" s="589"/>
      <c r="F40" s="589"/>
      <c r="G40" s="599" t="s">
        <v>248</v>
      </c>
      <c r="H40" s="589" t="s">
        <v>249</v>
      </c>
      <c r="I40" s="590"/>
      <c r="J40" s="192"/>
      <c r="L40" s="194"/>
      <c r="M40" s="195"/>
    </row>
    <row r="41" spans="1:19" x14ac:dyDescent="0.2">
      <c r="C41" s="597"/>
      <c r="D41" s="589"/>
      <c r="E41" s="589"/>
      <c r="F41" s="589"/>
      <c r="G41" s="599"/>
      <c r="H41" s="589"/>
      <c r="I41" s="590"/>
      <c r="J41" s="192"/>
      <c r="L41" s="194"/>
      <c r="M41" s="195"/>
    </row>
    <row r="42" spans="1:19" ht="13.5" thickBot="1" x14ac:dyDescent="0.25">
      <c r="C42" s="196"/>
      <c r="D42" s="197"/>
      <c r="E42" s="198"/>
      <c r="F42" s="198"/>
      <c r="G42" s="199"/>
      <c r="H42" s="197"/>
      <c r="I42" s="200"/>
      <c r="J42" s="192"/>
      <c r="L42" s="194"/>
      <c r="M42" s="195"/>
    </row>
    <row r="43" spans="1:19" ht="13.5" thickTop="1" x14ac:dyDescent="0.2">
      <c r="C43" s="201"/>
      <c r="D43" s="202"/>
      <c r="E43" s="202"/>
      <c r="F43" s="202"/>
      <c r="G43" s="203"/>
      <c r="H43" s="204"/>
      <c r="I43" s="192"/>
      <c r="J43" s="192"/>
      <c r="L43" s="194"/>
      <c r="M43" s="195"/>
    </row>
    <row r="44" spans="1:19" x14ac:dyDescent="0.2">
      <c r="B44" s="17"/>
      <c r="D44" s="205"/>
      <c r="F44" s="192"/>
    </row>
    <row r="47" spans="1:19" x14ac:dyDescent="0.2">
      <c r="E47" s="206"/>
      <c r="F47" s="207"/>
      <c r="G47" s="17"/>
      <c r="I47" s="179"/>
      <c r="J47" s="179"/>
      <c r="K47" s="179"/>
      <c r="L47" s="179"/>
    </row>
    <row r="48" spans="1:19" ht="15.75" x14ac:dyDescent="0.25">
      <c r="A48" s="208" t="s">
        <v>250</v>
      </c>
      <c r="B48" s="209" t="s">
        <v>251</v>
      </c>
      <c r="C48" s="173"/>
      <c r="D48" s="173"/>
      <c r="E48" s="173"/>
      <c r="F48" s="173"/>
      <c r="G48" s="173"/>
      <c r="I48" s="179"/>
      <c r="J48" s="179"/>
      <c r="K48" s="179"/>
      <c r="L48" s="179"/>
    </row>
    <row r="49" spans="1:12" ht="15.75" x14ac:dyDescent="0.25">
      <c r="A49" s="208"/>
      <c r="B49" s="209"/>
      <c r="C49" s="173"/>
      <c r="D49" s="173"/>
      <c r="E49" s="173"/>
      <c r="F49" s="173"/>
      <c r="G49" s="173"/>
      <c r="I49" s="179"/>
      <c r="J49" s="179"/>
      <c r="K49" s="179"/>
      <c r="L49" s="179"/>
    </row>
    <row r="50" spans="1:12" ht="15.75" x14ac:dyDescent="0.25">
      <c r="A50" s="208"/>
      <c r="B50" s="209"/>
      <c r="C50" s="173"/>
      <c r="D50" s="173"/>
      <c r="E50" s="173"/>
      <c r="F50" s="173"/>
      <c r="G50" s="173"/>
      <c r="I50" s="179"/>
      <c r="J50" s="179"/>
      <c r="K50" s="179"/>
      <c r="L50" s="179"/>
    </row>
    <row r="51" spans="1:12" ht="15" x14ac:dyDescent="0.25">
      <c r="B51" s="210"/>
    </row>
    <row r="52" spans="1:12" x14ac:dyDescent="0.2">
      <c r="B52" s="17"/>
    </row>
    <row r="53" spans="1:12" x14ac:dyDescent="0.2">
      <c r="D53" t="s">
        <v>252</v>
      </c>
      <c r="F53" s="211">
        <f>D5</f>
        <v>2.2999999999999998</v>
      </c>
      <c r="G53" s="174" t="s">
        <v>215</v>
      </c>
      <c r="H53" s="174" t="s">
        <v>253</v>
      </c>
      <c r="I53" s="174"/>
      <c r="J53" s="174"/>
      <c r="K53" s="174"/>
    </row>
    <row r="54" spans="1:12" x14ac:dyDescent="0.2">
      <c r="D54" t="s">
        <v>254</v>
      </c>
      <c r="F54" s="211">
        <f>MAX(C81:C114)</f>
        <v>3</v>
      </c>
      <c r="G54" s="174" t="s">
        <v>168</v>
      </c>
      <c r="H54" s="174" t="s">
        <v>255</v>
      </c>
      <c r="I54" s="174"/>
      <c r="J54" s="174"/>
      <c r="K54" s="174"/>
    </row>
    <row r="55" spans="1:12" x14ac:dyDescent="0.2">
      <c r="D55" t="s">
        <v>256</v>
      </c>
      <c r="F55" s="211">
        <f>F54-F63</f>
        <v>2.5</v>
      </c>
      <c r="G55" s="174" t="s">
        <v>168</v>
      </c>
      <c r="H55" s="174" t="s">
        <v>257</v>
      </c>
      <c r="I55" s="174"/>
      <c r="J55" s="174"/>
      <c r="K55" s="174"/>
    </row>
    <row r="56" spans="1:12" x14ac:dyDescent="0.2">
      <c r="D56" t="s">
        <v>258</v>
      </c>
      <c r="F56" s="211">
        <f>F54-C89</f>
        <v>3</v>
      </c>
      <c r="G56" s="174"/>
      <c r="H56" s="174" t="s">
        <v>259</v>
      </c>
      <c r="I56" s="174"/>
      <c r="J56" s="174"/>
      <c r="K56" s="174"/>
    </row>
    <row r="57" spans="1:12" x14ac:dyDescent="0.2">
      <c r="D57" s="179" t="s">
        <v>260</v>
      </c>
      <c r="E57" s="179"/>
      <c r="F57" s="211">
        <f>+Estribo!U6</f>
        <v>2.5</v>
      </c>
      <c r="G57" s="174" t="s">
        <v>168</v>
      </c>
      <c r="H57" s="174" t="s">
        <v>261</v>
      </c>
      <c r="I57" s="174"/>
      <c r="J57" s="174"/>
      <c r="K57" s="174"/>
    </row>
    <row r="58" spans="1:12" x14ac:dyDescent="0.2">
      <c r="D58" t="s">
        <v>262</v>
      </c>
      <c r="F58" s="211">
        <f>+B93</f>
        <v>0</v>
      </c>
      <c r="G58" s="174" t="s">
        <v>168</v>
      </c>
      <c r="H58" s="174" t="s">
        <v>263</v>
      </c>
      <c r="I58" s="174"/>
      <c r="J58" s="174"/>
      <c r="K58" s="174"/>
    </row>
    <row r="59" spans="1:12" x14ac:dyDescent="0.2">
      <c r="D59" t="s">
        <v>264</v>
      </c>
      <c r="F59" s="211">
        <f>+F57-F58-F62</f>
        <v>0.8</v>
      </c>
      <c r="G59" s="174" t="s">
        <v>168</v>
      </c>
      <c r="H59" s="174" t="s">
        <v>265</v>
      </c>
      <c r="I59" s="174"/>
      <c r="J59" s="174"/>
      <c r="K59" s="174"/>
    </row>
    <row r="60" spans="1:12" x14ac:dyDescent="0.2">
      <c r="D60" t="s">
        <v>266</v>
      </c>
      <c r="F60" s="211">
        <v>6</v>
      </c>
      <c r="G60" s="174" t="s">
        <v>168</v>
      </c>
      <c r="H60" s="174" t="s">
        <v>267</v>
      </c>
      <c r="I60" s="174"/>
      <c r="J60" s="174"/>
      <c r="K60" s="174"/>
    </row>
    <row r="61" spans="1:12" x14ac:dyDescent="0.2">
      <c r="D61" t="s">
        <v>268</v>
      </c>
      <c r="F61" s="211">
        <v>0.3</v>
      </c>
      <c r="G61" s="174" t="s">
        <v>168</v>
      </c>
      <c r="H61" s="174" t="s">
        <v>269</v>
      </c>
      <c r="I61" s="174"/>
      <c r="J61" s="174"/>
      <c r="K61" s="174"/>
    </row>
    <row r="62" spans="1:12" x14ac:dyDescent="0.2">
      <c r="D62" t="s">
        <v>270</v>
      </c>
      <c r="F62" s="211">
        <f>+B84-B87</f>
        <v>1.7</v>
      </c>
      <c r="G62" s="174" t="s">
        <v>168</v>
      </c>
      <c r="H62" s="174" t="s">
        <v>271</v>
      </c>
      <c r="I62" s="174"/>
      <c r="J62" s="174"/>
      <c r="K62" s="174"/>
    </row>
    <row r="63" spans="1:12" x14ac:dyDescent="0.2">
      <c r="D63" t="s">
        <v>272</v>
      </c>
      <c r="F63" s="211">
        <f>MIN(H81:H114)</f>
        <v>0.5</v>
      </c>
      <c r="G63" s="174" t="s">
        <v>168</v>
      </c>
      <c r="H63" s="174" t="s">
        <v>273</v>
      </c>
      <c r="I63" s="174"/>
      <c r="J63" s="174"/>
      <c r="K63" s="174"/>
    </row>
    <row r="64" spans="1:12" x14ac:dyDescent="0.2">
      <c r="D64" t="s">
        <v>274</v>
      </c>
      <c r="F64" s="211">
        <f>D19</f>
        <v>0.4</v>
      </c>
      <c r="G64" s="174" t="s">
        <v>232</v>
      </c>
      <c r="H64" s="174"/>
      <c r="I64" s="174"/>
      <c r="J64" s="174"/>
      <c r="K64" s="174"/>
    </row>
    <row r="65" spans="2:32" x14ac:dyDescent="0.2">
      <c r="D65" t="s">
        <v>275</v>
      </c>
      <c r="F65" s="211">
        <f>+D9</f>
        <v>1.8</v>
      </c>
      <c r="G65" s="174" t="s">
        <v>215</v>
      </c>
      <c r="H65" s="174" t="s">
        <v>276</v>
      </c>
      <c r="I65" s="174"/>
      <c r="J65" s="174"/>
      <c r="K65" s="174"/>
    </row>
    <row r="66" spans="2:32" x14ac:dyDescent="0.2">
      <c r="D66" t="s">
        <v>277</v>
      </c>
      <c r="F66" s="470">
        <f>TAN(+Estribo!U136*3.141516/180)</f>
        <v>0.36396058893800748</v>
      </c>
      <c r="G66" s="174"/>
      <c r="H66" s="174" t="s">
        <v>278</v>
      </c>
      <c r="I66" s="174"/>
      <c r="J66" s="174"/>
      <c r="K66" s="174"/>
    </row>
    <row r="67" spans="2:32" x14ac:dyDescent="0.2">
      <c r="D67" t="s">
        <v>279</v>
      </c>
      <c r="F67" s="211">
        <f>+D10</f>
        <v>30</v>
      </c>
      <c r="G67" s="174" t="s">
        <v>219</v>
      </c>
      <c r="H67" s="174" t="s">
        <v>280</v>
      </c>
      <c r="I67" s="174"/>
      <c r="J67" s="174"/>
      <c r="K67" s="174"/>
    </row>
    <row r="68" spans="2:32" x14ac:dyDescent="0.2">
      <c r="D68" t="s">
        <v>279</v>
      </c>
      <c r="F68" s="211">
        <f>$F$67</f>
        <v>30</v>
      </c>
      <c r="G68" s="174" t="s">
        <v>281</v>
      </c>
      <c r="H68" s="174" t="s">
        <v>280</v>
      </c>
      <c r="I68" s="174"/>
      <c r="J68" s="174"/>
      <c r="K68" s="174"/>
    </row>
    <row r="69" spans="2:32" x14ac:dyDescent="0.2">
      <c r="D69" t="s">
        <v>282</v>
      </c>
      <c r="F69" s="211">
        <v>0</v>
      </c>
      <c r="G69" s="174"/>
      <c r="H69" s="174"/>
      <c r="I69" s="174"/>
      <c r="J69" s="174"/>
      <c r="K69" s="174"/>
    </row>
    <row r="70" spans="2:32" x14ac:dyDescent="0.2">
      <c r="D70" t="s">
        <v>283</v>
      </c>
      <c r="F70" s="211">
        <v>0</v>
      </c>
      <c r="G70" s="174"/>
      <c r="H70" s="174"/>
      <c r="I70" s="174"/>
      <c r="J70" s="174"/>
      <c r="K70" s="174"/>
    </row>
    <row r="71" spans="2:32" s="179" customFormat="1" x14ac:dyDescent="0.2">
      <c r="D71" s="179" t="s">
        <v>284</v>
      </c>
      <c r="F71" s="211">
        <v>0</v>
      </c>
      <c r="G71" s="174"/>
      <c r="H71" s="174"/>
      <c r="I71" s="174"/>
      <c r="J71" s="174"/>
      <c r="K71" s="174"/>
    </row>
    <row r="72" spans="2:32" s="179" customFormat="1" x14ac:dyDescent="0.2">
      <c r="D72" s="179" t="s">
        <v>285</v>
      </c>
      <c r="F72" s="211">
        <v>0</v>
      </c>
      <c r="G72" s="174" t="s">
        <v>227</v>
      </c>
      <c r="H72" s="174" t="s">
        <v>286</v>
      </c>
      <c r="I72" s="174"/>
      <c r="J72" s="174"/>
      <c r="K72" s="174"/>
    </row>
    <row r="73" spans="2:32" s="179" customFormat="1" x14ac:dyDescent="0.2">
      <c r="D73" s="179" t="s">
        <v>287</v>
      </c>
      <c r="F73" s="211">
        <v>0</v>
      </c>
      <c r="G73" s="174" t="s">
        <v>168</v>
      </c>
      <c r="H73" s="174" t="s">
        <v>288</v>
      </c>
      <c r="I73" s="174"/>
      <c r="J73" s="174"/>
      <c r="K73" s="174"/>
    </row>
    <row r="74" spans="2:32" s="179" customFormat="1" x14ac:dyDescent="0.2">
      <c r="D74" s="179" t="s">
        <v>289</v>
      </c>
      <c r="F74" s="211">
        <f>D15/D9</f>
        <v>0.83333333333333326</v>
      </c>
      <c r="G74" s="174" t="s">
        <v>168</v>
      </c>
      <c r="H74" s="174"/>
      <c r="I74" s="174"/>
      <c r="J74" s="174"/>
      <c r="K74" s="174"/>
    </row>
    <row r="75" spans="2:32" s="179" customFormat="1" x14ac:dyDescent="0.2">
      <c r="D75" s="212" t="s">
        <v>290</v>
      </c>
      <c r="E75" s="212"/>
      <c r="F75" s="211">
        <v>1</v>
      </c>
      <c r="G75" s="174" t="s">
        <v>168</v>
      </c>
      <c r="H75" s="212" t="s">
        <v>291</v>
      </c>
      <c r="I75" s="212"/>
      <c r="J75" s="174"/>
      <c r="K75" s="174"/>
    </row>
    <row r="76" spans="2:32" x14ac:dyDescent="0.2">
      <c r="D76" s="174" t="s">
        <v>292</v>
      </c>
      <c r="E76" s="213"/>
      <c r="F76" s="214">
        <f>$F$57*F75</f>
        <v>2.5</v>
      </c>
      <c r="H76" s="215"/>
      <c r="I76" s="17"/>
    </row>
    <row r="77" spans="2:32" x14ac:dyDescent="0.2">
      <c r="D77" s="174"/>
      <c r="E77" s="213"/>
      <c r="F77" s="216"/>
      <c r="H77" s="215"/>
      <c r="I77" s="17"/>
    </row>
    <row r="78" spans="2:32" ht="13.5" thickBot="1" x14ac:dyDescent="0.25"/>
    <row r="79" spans="2:32" ht="16.5" thickBot="1" x14ac:dyDescent="0.3">
      <c r="B79" s="217" t="s">
        <v>293</v>
      </c>
      <c r="C79" s="218"/>
      <c r="D79" s="217" t="s">
        <v>294</v>
      </c>
      <c r="E79" s="219"/>
      <c r="F79" s="220"/>
      <c r="G79" s="221" t="s">
        <v>295</v>
      </c>
      <c r="H79" s="222"/>
      <c r="R79" s="223" t="s">
        <v>296</v>
      </c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5"/>
    </row>
    <row r="80" spans="2:32" ht="16.5" thickBot="1" x14ac:dyDescent="0.3">
      <c r="B80" s="226" t="s">
        <v>297</v>
      </c>
      <c r="C80" s="227" t="s">
        <v>298</v>
      </c>
      <c r="D80" s="228"/>
      <c r="E80" s="229" t="s">
        <v>299</v>
      </c>
      <c r="F80" s="230"/>
      <c r="G80" s="226" t="s">
        <v>297</v>
      </c>
      <c r="H80" s="231" t="s">
        <v>298</v>
      </c>
      <c r="R80" s="232" t="s">
        <v>297</v>
      </c>
      <c r="S80" s="233" t="s">
        <v>298</v>
      </c>
      <c r="T80" s="233" t="s">
        <v>300</v>
      </c>
      <c r="U80" s="234" t="s">
        <v>301</v>
      </c>
      <c r="V80" s="234" t="s">
        <v>302</v>
      </c>
      <c r="W80" s="234" t="s">
        <v>303</v>
      </c>
      <c r="X80" s="234" t="s">
        <v>304</v>
      </c>
      <c r="Y80" s="233" t="s">
        <v>174</v>
      </c>
      <c r="Z80" s="233" t="s">
        <v>305</v>
      </c>
      <c r="AA80" s="233" t="s">
        <v>306</v>
      </c>
      <c r="AB80" s="233" t="s">
        <v>307</v>
      </c>
      <c r="AC80" s="233" t="s">
        <v>308</v>
      </c>
      <c r="AD80" s="233" t="s">
        <v>309</v>
      </c>
      <c r="AE80" s="233" t="s">
        <v>310</v>
      </c>
      <c r="AF80" s="235"/>
    </row>
    <row r="81" spans="1:32" x14ac:dyDescent="0.2">
      <c r="A81" s="153" t="s">
        <v>311</v>
      </c>
      <c r="B81" s="236">
        <v>0</v>
      </c>
      <c r="C81" s="236">
        <v>0</v>
      </c>
      <c r="D81" s="237" t="s">
        <v>312</v>
      </c>
      <c r="E81" s="238">
        <f>Y121</f>
        <v>3.875</v>
      </c>
      <c r="F81" s="239"/>
      <c r="G81" s="240">
        <f>B82</f>
        <v>2</v>
      </c>
      <c r="H81" s="240">
        <f>C83</f>
        <v>0.5</v>
      </c>
      <c r="R81" s="241">
        <f t="shared" ref="R81:S115" si="0">B81</f>
        <v>0</v>
      </c>
      <c r="S81" s="242">
        <f t="shared" si="0"/>
        <v>0</v>
      </c>
      <c r="T81" s="243">
        <f t="shared" ref="T81:T115" si="1">IF(OR(ISBLANK(R81),ISBLANK(R82)),0,1)</f>
        <v>1</v>
      </c>
      <c r="U81" s="242">
        <f t="shared" ref="U81:V115" si="2">R82-R81</f>
        <v>2</v>
      </c>
      <c r="V81" s="242">
        <f t="shared" si="2"/>
        <v>0</v>
      </c>
      <c r="W81" s="242">
        <f t="shared" ref="W81:W115" si="3">R82+R81</f>
        <v>2</v>
      </c>
      <c r="X81" s="1">
        <f t="shared" ref="X81:X115" si="4">+S82+S81</f>
        <v>0</v>
      </c>
      <c r="Y81" s="244">
        <f t="shared" ref="Y81:Y115" si="5">T81*V81*W81/2</f>
        <v>0</v>
      </c>
      <c r="Z81" s="243">
        <f t="shared" ref="Z81:Z115" si="6">T81*V81/8*(W81^2+U81^2/3)</f>
        <v>0</v>
      </c>
      <c r="AA81" s="243">
        <f t="shared" ref="AA81:AA115" si="7">-T81*U81/8*(X81^2+V81^2/3)</f>
        <v>0</v>
      </c>
      <c r="AB81" s="243">
        <f t="shared" ref="AB81:AB115" si="8">-T81*U81*X81/24*(V81^2+X81^2)</f>
        <v>0</v>
      </c>
      <c r="AC81" s="243">
        <f t="shared" ref="AC81:AC115" si="9">T81*V81*W81/24*(U81^2+W81^2)</f>
        <v>0</v>
      </c>
      <c r="AD81" s="243">
        <f t="shared" ref="AD81:AD115" si="10">R82*S81-R81*S82</f>
        <v>0</v>
      </c>
      <c r="AE81" s="243">
        <f t="shared" ref="AE81:AE115" si="11">IF(U81&lt;&gt;0,-T81/U81*(V81^2*W81/8*(R81^2+R82^2)+V81/3*AD81*(R81^2+R81*R82+R82^2)+AD81^2*(R81+R82)/4),0)</f>
        <v>0</v>
      </c>
      <c r="AF81" s="245"/>
    </row>
    <row r="82" spans="1:32" x14ac:dyDescent="0.2">
      <c r="A82" s="153" t="s">
        <v>313</v>
      </c>
      <c r="B82" s="246">
        <v>2</v>
      </c>
      <c r="C82" s="247">
        <v>0</v>
      </c>
      <c r="D82" s="248" t="s">
        <v>297</v>
      </c>
      <c r="E82" s="249">
        <f>Z122</f>
        <v>0.79139784946236558</v>
      </c>
      <c r="F82" s="250"/>
      <c r="G82" s="251">
        <f>B82</f>
        <v>2</v>
      </c>
      <c r="H82" s="251">
        <f>C85</f>
        <v>3</v>
      </c>
      <c r="R82" s="241">
        <f t="shared" si="0"/>
        <v>2</v>
      </c>
      <c r="S82" s="242">
        <f t="shared" si="0"/>
        <v>0</v>
      </c>
      <c r="T82" s="243">
        <f t="shared" si="1"/>
        <v>1</v>
      </c>
      <c r="U82" s="242">
        <f t="shared" si="2"/>
        <v>0</v>
      </c>
      <c r="V82" s="242">
        <f t="shared" si="2"/>
        <v>0.5</v>
      </c>
      <c r="W82" s="242">
        <f t="shared" si="3"/>
        <v>4</v>
      </c>
      <c r="X82" s="1">
        <f t="shared" si="4"/>
        <v>0.5</v>
      </c>
      <c r="Y82" s="244">
        <f t="shared" si="5"/>
        <v>1</v>
      </c>
      <c r="Z82" s="243">
        <f t="shared" si="6"/>
        <v>1</v>
      </c>
      <c r="AA82" s="243">
        <f t="shared" si="7"/>
        <v>0</v>
      </c>
      <c r="AB82" s="243">
        <f t="shared" si="8"/>
        <v>0</v>
      </c>
      <c r="AC82" s="243">
        <f t="shared" si="9"/>
        <v>1.3333333333333333</v>
      </c>
      <c r="AD82" s="243">
        <f t="shared" si="10"/>
        <v>-1</v>
      </c>
      <c r="AE82" s="243">
        <f t="shared" si="11"/>
        <v>0</v>
      </c>
      <c r="AF82" s="245"/>
    </row>
    <row r="83" spans="1:32" x14ac:dyDescent="0.2">
      <c r="A83" s="153" t="s">
        <v>314</v>
      </c>
      <c r="B83" s="247">
        <f>+B82</f>
        <v>2</v>
      </c>
      <c r="C83" s="246">
        <v>0.5</v>
      </c>
      <c r="D83" s="248" t="s">
        <v>298</v>
      </c>
      <c r="E83" s="249">
        <f>AA122</f>
        <v>1.2150537634408602</v>
      </c>
      <c r="F83" s="250"/>
      <c r="G83" s="251">
        <f>B85</f>
        <v>0.7</v>
      </c>
      <c r="H83" s="251">
        <f>C85</f>
        <v>3</v>
      </c>
      <c r="R83" s="241">
        <f t="shared" si="0"/>
        <v>2</v>
      </c>
      <c r="S83" s="242">
        <f t="shared" si="0"/>
        <v>0.5</v>
      </c>
      <c r="T83" s="243">
        <f t="shared" si="1"/>
        <v>1</v>
      </c>
      <c r="U83" s="242">
        <f t="shared" si="2"/>
        <v>-0.19999999999999996</v>
      </c>
      <c r="V83" s="242">
        <f t="shared" si="2"/>
        <v>0</v>
      </c>
      <c r="W83" s="242">
        <f t="shared" si="3"/>
        <v>3.8</v>
      </c>
      <c r="X83" s="1">
        <f t="shared" si="4"/>
        <v>1</v>
      </c>
      <c r="Y83" s="244">
        <f t="shared" si="5"/>
        <v>0</v>
      </c>
      <c r="Z83" s="243">
        <f t="shared" si="6"/>
        <v>0</v>
      </c>
      <c r="AA83" s="243">
        <f t="shared" si="7"/>
        <v>2.4999999999999994E-2</v>
      </c>
      <c r="AB83" s="243">
        <f t="shared" si="8"/>
        <v>8.3333333333333315E-3</v>
      </c>
      <c r="AC83" s="243">
        <f t="shared" si="9"/>
        <v>0</v>
      </c>
      <c r="AD83" s="243">
        <f t="shared" si="10"/>
        <v>-9.9999999999999978E-2</v>
      </c>
      <c r="AE83" s="243">
        <f t="shared" si="11"/>
        <v>4.749999999999998E-2</v>
      </c>
      <c r="AF83" s="245"/>
    </row>
    <row r="84" spans="1:32" x14ac:dyDescent="0.2">
      <c r="A84" s="64" t="s">
        <v>315</v>
      </c>
      <c r="B84" s="247">
        <f>B87+C117</f>
        <v>1.8</v>
      </c>
      <c r="C84" s="252">
        <f>+C83</f>
        <v>0.5</v>
      </c>
      <c r="D84" s="253" t="s">
        <v>316</v>
      </c>
      <c r="E84" s="254">
        <f>E81*F53*F75</f>
        <v>8.9124999999999996</v>
      </c>
      <c r="F84" s="255" t="s">
        <v>317</v>
      </c>
      <c r="G84" s="251">
        <f>B84</f>
        <v>1.8</v>
      </c>
      <c r="H84" s="251">
        <f>C83</f>
        <v>0.5</v>
      </c>
      <c r="K84" s="256"/>
      <c r="M84" s="256">
        <f t="shared" ref="M84:M93" si="12">+B84+0.1</f>
        <v>1.9000000000000001</v>
      </c>
      <c r="R84" s="241">
        <f t="shared" si="0"/>
        <v>1.8</v>
      </c>
      <c r="S84" s="242">
        <f t="shared" si="0"/>
        <v>0.5</v>
      </c>
      <c r="T84" s="243">
        <f t="shared" si="1"/>
        <v>1</v>
      </c>
      <c r="U84" s="242">
        <f t="shared" si="2"/>
        <v>-1.1000000000000001</v>
      </c>
      <c r="V84" s="242">
        <f t="shared" si="2"/>
        <v>2.5</v>
      </c>
      <c r="W84" s="242">
        <f t="shared" si="3"/>
        <v>2.5</v>
      </c>
      <c r="X84" s="1">
        <f t="shared" si="4"/>
        <v>3.5</v>
      </c>
      <c r="Y84" s="244">
        <f t="shared" si="5"/>
        <v>3.125</v>
      </c>
      <c r="Z84" s="243">
        <f t="shared" si="6"/>
        <v>2.0791666666666666</v>
      </c>
      <c r="AA84" s="243">
        <f t="shared" si="7"/>
        <v>1.9708333333333337</v>
      </c>
      <c r="AB84" s="243">
        <f t="shared" si="8"/>
        <v>2.9677083333333334</v>
      </c>
      <c r="AC84" s="243">
        <f t="shared" si="9"/>
        <v>1.9427083333333335</v>
      </c>
      <c r="AD84" s="243">
        <f t="shared" si="10"/>
        <v>-5.0500000000000007</v>
      </c>
      <c r="AE84" s="243">
        <f t="shared" si="11"/>
        <v>2.0223958333333347</v>
      </c>
      <c r="AF84" s="245"/>
    </row>
    <row r="85" spans="1:32" x14ac:dyDescent="0.2">
      <c r="A85" s="64"/>
      <c r="B85" s="247">
        <f>B87+C116</f>
        <v>0.7</v>
      </c>
      <c r="C85" s="257">
        <v>3</v>
      </c>
      <c r="D85" s="258" t="s">
        <v>318</v>
      </c>
      <c r="E85" s="259">
        <f>E84*(E82)</f>
        <v>7.0533333333333328</v>
      </c>
      <c r="F85" s="260" t="s">
        <v>319</v>
      </c>
      <c r="G85" s="251"/>
      <c r="H85" s="251"/>
      <c r="K85" s="256"/>
      <c r="M85" s="256">
        <f t="shared" si="12"/>
        <v>0.79999999999999993</v>
      </c>
      <c r="R85" s="241">
        <f t="shared" si="0"/>
        <v>0.7</v>
      </c>
      <c r="S85" s="242">
        <f t="shared" si="0"/>
        <v>3</v>
      </c>
      <c r="T85" s="243">
        <f t="shared" si="1"/>
        <v>1</v>
      </c>
      <c r="U85" s="242">
        <f t="shared" si="2"/>
        <v>-0.6</v>
      </c>
      <c r="V85" s="242">
        <f t="shared" si="2"/>
        <v>0</v>
      </c>
      <c r="W85" s="242">
        <f t="shared" si="3"/>
        <v>0.79999999999999993</v>
      </c>
      <c r="X85" s="1">
        <f t="shared" si="4"/>
        <v>6</v>
      </c>
      <c r="Y85" s="244">
        <f t="shared" si="5"/>
        <v>0</v>
      </c>
      <c r="Z85" s="243">
        <f t="shared" si="6"/>
        <v>0</v>
      </c>
      <c r="AA85" s="243">
        <f t="shared" si="7"/>
        <v>2.6999999999999997</v>
      </c>
      <c r="AB85" s="243">
        <f t="shared" si="8"/>
        <v>5.3999999999999995</v>
      </c>
      <c r="AC85" s="243">
        <f t="shared" si="9"/>
        <v>0</v>
      </c>
      <c r="AD85" s="243">
        <f t="shared" si="10"/>
        <v>-1.7999999999999996</v>
      </c>
      <c r="AE85" s="243">
        <f t="shared" si="11"/>
        <v>1.0799999999999996</v>
      </c>
      <c r="AF85" s="245"/>
    </row>
    <row r="86" spans="1:32" ht="13.5" thickBot="1" x14ac:dyDescent="0.25">
      <c r="A86" s="179"/>
      <c r="B86" s="247">
        <f>B87</f>
        <v>0.1</v>
      </c>
      <c r="C86" s="247">
        <f>C85</f>
        <v>3</v>
      </c>
      <c r="D86" s="258" t="s">
        <v>320</v>
      </c>
      <c r="E86" s="259">
        <f>E84*(E83)</f>
        <v>10.829166666666666</v>
      </c>
      <c r="F86" s="260" t="s">
        <v>319</v>
      </c>
      <c r="G86" s="251"/>
      <c r="H86" s="251"/>
      <c r="K86" s="256"/>
      <c r="M86" s="256">
        <f t="shared" si="12"/>
        <v>0.2</v>
      </c>
      <c r="R86" s="241">
        <f t="shared" si="0"/>
        <v>0.1</v>
      </c>
      <c r="S86" s="242">
        <f t="shared" si="0"/>
        <v>3</v>
      </c>
      <c r="T86" s="243">
        <f t="shared" si="1"/>
        <v>1</v>
      </c>
      <c r="U86" s="242">
        <f t="shared" si="2"/>
        <v>0</v>
      </c>
      <c r="V86" s="242">
        <f t="shared" si="2"/>
        <v>-2.5</v>
      </c>
      <c r="W86" s="242">
        <f t="shared" si="3"/>
        <v>0.2</v>
      </c>
      <c r="X86" s="1">
        <f t="shared" si="4"/>
        <v>3.5</v>
      </c>
      <c r="Y86" s="244">
        <f t="shared" si="5"/>
        <v>-0.25</v>
      </c>
      <c r="Z86" s="243">
        <f t="shared" si="6"/>
        <v>-1.2500000000000002E-2</v>
      </c>
      <c r="AA86" s="243">
        <f t="shared" si="7"/>
        <v>0</v>
      </c>
      <c r="AB86" s="243">
        <f t="shared" si="8"/>
        <v>0</v>
      </c>
      <c r="AC86" s="243">
        <f t="shared" si="9"/>
        <v>-8.333333333333335E-4</v>
      </c>
      <c r="AD86" s="243">
        <f t="shared" si="10"/>
        <v>0.25000000000000006</v>
      </c>
      <c r="AE86" s="243">
        <f t="shared" si="11"/>
        <v>0</v>
      </c>
      <c r="AF86" s="245"/>
    </row>
    <row r="87" spans="1:32" x14ac:dyDescent="0.2">
      <c r="A87" s="179" t="s">
        <v>321</v>
      </c>
      <c r="B87" s="246">
        <v>0.1</v>
      </c>
      <c r="C87" s="247">
        <f>C84</f>
        <v>0.5</v>
      </c>
      <c r="D87" s="261" t="s">
        <v>322</v>
      </c>
      <c r="E87" s="262">
        <f>Y162</f>
        <v>1.425</v>
      </c>
      <c r="F87" s="263"/>
      <c r="G87" s="251"/>
      <c r="H87" s="251"/>
      <c r="K87" s="256"/>
      <c r="M87" s="256">
        <f t="shared" si="12"/>
        <v>0.2</v>
      </c>
      <c r="R87" s="241">
        <f t="shared" si="0"/>
        <v>0.1</v>
      </c>
      <c r="S87" s="242">
        <f t="shared" si="0"/>
        <v>0.5</v>
      </c>
      <c r="T87" s="243">
        <f t="shared" si="1"/>
        <v>1</v>
      </c>
      <c r="U87" s="242">
        <f t="shared" si="2"/>
        <v>-0.1</v>
      </c>
      <c r="V87" s="242">
        <f t="shared" si="2"/>
        <v>0</v>
      </c>
      <c r="W87" s="242">
        <f t="shared" si="3"/>
        <v>0.1</v>
      </c>
      <c r="X87" s="1">
        <f t="shared" si="4"/>
        <v>1</v>
      </c>
      <c r="Y87" s="244">
        <f t="shared" si="5"/>
        <v>0</v>
      </c>
      <c r="Z87" s="243">
        <f t="shared" si="6"/>
        <v>0</v>
      </c>
      <c r="AA87" s="243">
        <f t="shared" si="7"/>
        <v>1.2500000000000001E-2</v>
      </c>
      <c r="AB87" s="243">
        <f t="shared" si="8"/>
        <v>4.1666666666666666E-3</v>
      </c>
      <c r="AC87" s="243">
        <f t="shared" si="9"/>
        <v>0</v>
      </c>
      <c r="AD87" s="243">
        <f t="shared" si="10"/>
        <v>-0.05</v>
      </c>
      <c r="AE87" s="243">
        <f t="shared" si="11"/>
        <v>6.2500000000000012E-4</v>
      </c>
      <c r="AF87" s="245"/>
    </row>
    <row r="88" spans="1:32" x14ac:dyDescent="0.2">
      <c r="A88" s="179"/>
      <c r="B88" s="247">
        <v>0</v>
      </c>
      <c r="C88" s="252">
        <f>C83</f>
        <v>0.5</v>
      </c>
      <c r="D88" s="264" t="s">
        <v>297</v>
      </c>
      <c r="E88" s="265">
        <f>Z163</f>
        <v>1.8602339181286549</v>
      </c>
      <c r="F88" s="266"/>
      <c r="G88" s="251"/>
      <c r="H88" s="251"/>
      <c r="K88" s="256"/>
      <c r="M88" s="256">
        <f t="shared" si="12"/>
        <v>0.1</v>
      </c>
      <c r="R88" s="241">
        <f t="shared" si="0"/>
        <v>0</v>
      </c>
      <c r="S88" s="242">
        <f t="shared" si="0"/>
        <v>0.5</v>
      </c>
      <c r="T88" s="243">
        <f t="shared" si="1"/>
        <v>1</v>
      </c>
      <c r="U88" s="242">
        <f t="shared" si="2"/>
        <v>0</v>
      </c>
      <c r="V88" s="242">
        <f t="shared" si="2"/>
        <v>-0.5</v>
      </c>
      <c r="W88" s="242">
        <f t="shared" si="3"/>
        <v>0</v>
      </c>
      <c r="X88" s="1">
        <f t="shared" si="4"/>
        <v>0.5</v>
      </c>
      <c r="Y88" s="244">
        <f t="shared" si="5"/>
        <v>0</v>
      </c>
      <c r="Z88" s="243">
        <f t="shared" si="6"/>
        <v>0</v>
      </c>
      <c r="AA88" s="243">
        <f t="shared" si="7"/>
        <v>0</v>
      </c>
      <c r="AB88" s="243">
        <f t="shared" si="8"/>
        <v>0</v>
      </c>
      <c r="AC88" s="243">
        <f t="shared" si="9"/>
        <v>0</v>
      </c>
      <c r="AD88" s="243">
        <f t="shared" si="10"/>
        <v>0</v>
      </c>
      <c r="AE88" s="243">
        <f t="shared" si="11"/>
        <v>0</v>
      </c>
      <c r="AF88" s="245"/>
    </row>
    <row r="89" spans="1:32" x14ac:dyDescent="0.2">
      <c r="A89" s="179" t="s">
        <v>323</v>
      </c>
      <c r="B89" s="247">
        <v>0</v>
      </c>
      <c r="C89" s="247">
        <v>0</v>
      </c>
      <c r="D89" s="264" t="s">
        <v>298</v>
      </c>
      <c r="E89" s="265">
        <f>AA163</f>
        <v>2.7748538011695909</v>
      </c>
      <c r="F89" s="266"/>
      <c r="G89" s="251"/>
      <c r="H89" s="251"/>
      <c r="K89" s="256"/>
      <c r="L89" s="256"/>
      <c r="M89" s="256">
        <f t="shared" si="12"/>
        <v>0.1</v>
      </c>
      <c r="R89" s="241">
        <f t="shared" si="0"/>
        <v>0</v>
      </c>
      <c r="S89" s="242">
        <f t="shared" si="0"/>
        <v>0</v>
      </c>
      <c r="T89" s="243">
        <f t="shared" si="1"/>
        <v>1</v>
      </c>
      <c r="U89" s="242">
        <f t="shared" si="2"/>
        <v>0</v>
      </c>
      <c r="V89" s="242">
        <f t="shared" si="2"/>
        <v>0</v>
      </c>
      <c r="W89" s="242">
        <f t="shared" si="3"/>
        <v>0</v>
      </c>
      <c r="X89" s="1">
        <f t="shared" si="4"/>
        <v>0</v>
      </c>
      <c r="Y89" s="244">
        <f t="shared" si="5"/>
        <v>0</v>
      </c>
      <c r="Z89" s="243">
        <f t="shared" si="6"/>
        <v>0</v>
      </c>
      <c r="AA89" s="243">
        <f t="shared" si="7"/>
        <v>0</v>
      </c>
      <c r="AB89" s="243">
        <f t="shared" si="8"/>
        <v>0</v>
      </c>
      <c r="AC89" s="243">
        <f t="shared" si="9"/>
        <v>0</v>
      </c>
      <c r="AD89" s="243">
        <f t="shared" si="10"/>
        <v>0</v>
      </c>
      <c r="AE89" s="243">
        <f t="shared" si="11"/>
        <v>0</v>
      </c>
      <c r="AF89" s="245"/>
    </row>
    <row r="90" spans="1:32" x14ac:dyDescent="0.2">
      <c r="A90" s="179"/>
      <c r="B90" s="247"/>
      <c r="C90" s="252"/>
      <c r="D90" s="267" t="s">
        <v>324</v>
      </c>
      <c r="E90" s="268">
        <f>E87*F65*F75</f>
        <v>2.5649999999999999</v>
      </c>
      <c r="F90" s="269" t="s">
        <v>317</v>
      </c>
      <c r="G90" s="251"/>
      <c r="H90" s="251"/>
      <c r="K90" s="256"/>
      <c r="M90" s="256">
        <f t="shared" si="12"/>
        <v>0.1</v>
      </c>
      <c r="R90" s="241">
        <f t="shared" si="0"/>
        <v>0</v>
      </c>
      <c r="S90" s="242">
        <f t="shared" si="0"/>
        <v>0</v>
      </c>
      <c r="T90" s="243">
        <f t="shared" si="1"/>
        <v>1</v>
      </c>
      <c r="U90" s="242">
        <f t="shared" si="2"/>
        <v>0</v>
      </c>
      <c r="V90" s="242">
        <f t="shared" si="2"/>
        <v>0</v>
      </c>
      <c r="W90" s="242">
        <f t="shared" si="3"/>
        <v>0</v>
      </c>
      <c r="X90" s="1">
        <f t="shared" si="4"/>
        <v>0</v>
      </c>
      <c r="Y90" s="244">
        <f t="shared" si="5"/>
        <v>0</v>
      </c>
      <c r="Z90" s="243">
        <f t="shared" si="6"/>
        <v>0</v>
      </c>
      <c r="AA90" s="243">
        <f t="shared" si="7"/>
        <v>0</v>
      </c>
      <c r="AB90" s="243">
        <f t="shared" si="8"/>
        <v>0</v>
      </c>
      <c r="AC90" s="243">
        <f t="shared" si="9"/>
        <v>0</v>
      </c>
      <c r="AD90" s="243">
        <f t="shared" si="10"/>
        <v>0</v>
      </c>
      <c r="AE90" s="243">
        <f t="shared" si="11"/>
        <v>0</v>
      </c>
      <c r="AF90" s="245"/>
    </row>
    <row r="91" spans="1:32" x14ac:dyDescent="0.2">
      <c r="A91" s="179"/>
      <c r="B91" s="247"/>
      <c r="C91" s="252"/>
      <c r="D91" s="270" t="s">
        <v>325</v>
      </c>
      <c r="E91" s="271">
        <f>E90*(E88)</f>
        <v>4.7714999999999996</v>
      </c>
      <c r="F91" s="272" t="s">
        <v>319</v>
      </c>
      <c r="G91" s="251"/>
      <c r="H91" s="251"/>
      <c r="K91" s="256"/>
      <c r="M91" s="256">
        <f t="shared" si="12"/>
        <v>0.1</v>
      </c>
      <c r="R91" s="241">
        <f t="shared" si="0"/>
        <v>0</v>
      </c>
      <c r="S91" s="242">
        <f t="shared" si="0"/>
        <v>0</v>
      </c>
      <c r="T91" s="243">
        <f t="shared" si="1"/>
        <v>1</v>
      </c>
      <c r="U91" s="242">
        <f t="shared" si="2"/>
        <v>0</v>
      </c>
      <c r="V91" s="242">
        <f t="shared" si="2"/>
        <v>0</v>
      </c>
      <c r="W91" s="242">
        <f t="shared" si="3"/>
        <v>0</v>
      </c>
      <c r="X91" s="1">
        <f t="shared" si="4"/>
        <v>0</v>
      </c>
      <c r="Y91" s="244">
        <f t="shared" si="5"/>
        <v>0</v>
      </c>
      <c r="Z91" s="243">
        <f t="shared" si="6"/>
        <v>0</v>
      </c>
      <c r="AA91" s="243">
        <f t="shared" si="7"/>
        <v>0</v>
      </c>
      <c r="AB91" s="243">
        <f t="shared" si="8"/>
        <v>0</v>
      </c>
      <c r="AC91" s="243">
        <f t="shared" si="9"/>
        <v>0</v>
      </c>
      <c r="AD91" s="243">
        <f t="shared" si="10"/>
        <v>0</v>
      </c>
      <c r="AE91" s="243">
        <f t="shared" si="11"/>
        <v>0</v>
      </c>
      <c r="AF91" s="245"/>
    </row>
    <row r="92" spans="1:32" x14ac:dyDescent="0.2">
      <c r="A92" s="179"/>
      <c r="B92" s="247"/>
      <c r="C92" s="247"/>
      <c r="D92" s="270" t="s">
        <v>326</v>
      </c>
      <c r="E92" s="271">
        <f>E90*(E89)</f>
        <v>7.1175000000000006</v>
      </c>
      <c r="F92" s="272" t="s">
        <v>319</v>
      </c>
      <c r="G92" s="251"/>
      <c r="H92" s="251"/>
      <c r="K92" s="256"/>
      <c r="M92" s="256">
        <f t="shared" si="12"/>
        <v>0.1</v>
      </c>
      <c r="R92" s="241">
        <f t="shared" si="0"/>
        <v>0</v>
      </c>
      <c r="S92" s="242">
        <f t="shared" si="0"/>
        <v>0</v>
      </c>
      <c r="T92" s="243">
        <f t="shared" si="1"/>
        <v>1</v>
      </c>
      <c r="U92" s="242">
        <f t="shared" si="2"/>
        <v>0</v>
      </c>
      <c r="V92" s="242">
        <f t="shared" si="2"/>
        <v>0</v>
      </c>
      <c r="W92" s="242">
        <f t="shared" si="3"/>
        <v>0</v>
      </c>
      <c r="X92" s="1">
        <f t="shared" si="4"/>
        <v>0</v>
      </c>
      <c r="Y92" s="244">
        <f t="shared" si="5"/>
        <v>0</v>
      </c>
      <c r="Z92" s="243">
        <f t="shared" si="6"/>
        <v>0</v>
      </c>
      <c r="AA92" s="243">
        <f t="shared" si="7"/>
        <v>0</v>
      </c>
      <c r="AB92" s="243">
        <f t="shared" si="8"/>
        <v>0</v>
      </c>
      <c r="AC92" s="243">
        <f t="shared" si="9"/>
        <v>0</v>
      </c>
      <c r="AD92" s="243">
        <f t="shared" si="10"/>
        <v>0</v>
      </c>
      <c r="AE92" s="243">
        <f t="shared" si="11"/>
        <v>0</v>
      </c>
      <c r="AF92" s="245"/>
    </row>
    <row r="93" spans="1:32" x14ac:dyDescent="0.2">
      <c r="A93" s="179"/>
      <c r="B93" s="247"/>
      <c r="C93" s="252"/>
      <c r="D93" s="273" t="s">
        <v>327</v>
      </c>
      <c r="E93" s="274">
        <f>E85+E91</f>
        <v>11.824833333333332</v>
      </c>
      <c r="F93" s="275" t="s">
        <v>319</v>
      </c>
      <c r="G93" s="251"/>
      <c r="H93" s="251"/>
      <c r="K93" s="256"/>
      <c r="M93" s="256">
        <f t="shared" si="12"/>
        <v>0.1</v>
      </c>
      <c r="R93" s="241">
        <f t="shared" si="0"/>
        <v>0</v>
      </c>
      <c r="S93" s="242">
        <f t="shared" si="0"/>
        <v>0</v>
      </c>
      <c r="T93" s="243">
        <f t="shared" si="1"/>
        <v>1</v>
      </c>
      <c r="U93" s="242">
        <f t="shared" si="2"/>
        <v>0</v>
      </c>
      <c r="V93" s="242">
        <f t="shared" si="2"/>
        <v>0</v>
      </c>
      <c r="W93" s="242">
        <f t="shared" si="3"/>
        <v>0</v>
      </c>
      <c r="X93" s="1">
        <f t="shared" si="4"/>
        <v>0</v>
      </c>
      <c r="Y93" s="244">
        <f t="shared" si="5"/>
        <v>0</v>
      </c>
      <c r="Z93" s="243">
        <f t="shared" si="6"/>
        <v>0</v>
      </c>
      <c r="AA93" s="243">
        <f t="shared" si="7"/>
        <v>0</v>
      </c>
      <c r="AB93" s="243">
        <f t="shared" si="8"/>
        <v>0</v>
      </c>
      <c r="AC93" s="243">
        <f t="shared" si="9"/>
        <v>0</v>
      </c>
      <c r="AD93" s="243">
        <f t="shared" si="10"/>
        <v>0</v>
      </c>
      <c r="AE93" s="243">
        <f t="shared" si="11"/>
        <v>0</v>
      </c>
      <c r="AF93" s="245"/>
    </row>
    <row r="94" spans="1:32" x14ac:dyDescent="0.2">
      <c r="B94" s="247"/>
      <c r="C94" s="252"/>
      <c r="D94" s="276" t="s">
        <v>328</v>
      </c>
      <c r="E94" s="277">
        <f>E84+E90</f>
        <v>11.477499999999999</v>
      </c>
      <c r="F94" s="278" t="s">
        <v>317</v>
      </c>
      <c r="G94" s="251"/>
      <c r="H94" s="251"/>
      <c r="J94" s="256"/>
      <c r="R94" s="241">
        <f t="shared" si="0"/>
        <v>0</v>
      </c>
      <c r="S94" s="242">
        <f t="shared" si="0"/>
        <v>0</v>
      </c>
      <c r="T94" s="243">
        <f t="shared" si="1"/>
        <v>1</v>
      </c>
      <c r="U94" s="242">
        <f t="shared" si="2"/>
        <v>0</v>
      </c>
      <c r="V94" s="242">
        <f t="shared" si="2"/>
        <v>0</v>
      </c>
      <c r="W94" s="242">
        <f t="shared" si="3"/>
        <v>0</v>
      </c>
      <c r="X94" s="1">
        <f t="shared" si="4"/>
        <v>0</v>
      </c>
      <c r="Y94" s="244">
        <f t="shared" si="5"/>
        <v>0</v>
      </c>
      <c r="Z94" s="243">
        <f t="shared" si="6"/>
        <v>0</v>
      </c>
      <c r="AA94" s="243">
        <f t="shared" si="7"/>
        <v>0</v>
      </c>
      <c r="AB94" s="243">
        <f t="shared" si="8"/>
        <v>0</v>
      </c>
      <c r="AC94" s="243">
        <f t="shared" si="9"/>
        <v>0</v>
      </c>
      <c r="AD94" s="243">
        <f t="shared" si="10"/>
        <v>0</v>
      </c>
      <c r="AE94" s="243">
        <f t="shared" si="11"/>
        <v>0</v>
      </c>
      <c r="AF94" s="245"/>
    </row>
    <row r="95" spans="1:32" x14ac:dyDescent="0.2">
      <c r="B95" s="247"/>
      <c r="C95" s="247"/>
      <c r="D95" s="273" t="s">
        <v>329</v>
      </c>
      <c r="E95" s="274">
        <f>E86+E92</f>
        <v>17.946666666666665</v>
      </c>
      <c r="F95" s="275" t="s">
        <v>319</v>
      </c>
      <c r="G95" s="251"/>
      <c r="H95" s="251"/>
      <c r="R95" s="241">
        <f t="shared" si="0"/>
        <v>0</v>
      </c>
      <c r="S95" s="242">
        <f t="shared" si="0"/>
        <v>0</v>
      </c>
      <c r="T95" s="243">
        <f t="shared" si="1"/>
        <v>1</v>
      </c>
      <c r="U95" s="242">
        <f t="shared" si="2"/>
        <v>0</v>
      </c>
      <c r="V95" s="242">
        <f t="shared" si="2"/>
        <v>0</v>
      </c>
      <c r="W95" s="242">
        <f t="shared" si="3"/>
        <v>0</v>
      </c>
      <c r="X95" s="1">
        <f t="shared" si="4"/>
        <v>0</v>
      </c>
      <c r="Y95" s="244">
        <f t="shared" si="5"/>
        <v>0</v>
      </c>
      <c r="Z95" s="243">
        <f t="shared" si="6"/>
        <v>0</v>
      </c>
      <c r="AA95" s="243">
        <f t="shared" si="7"/>
        <v>0</v>
      </c>
      <c r="AB95" s="243">
        <f t="shared" si="8"/>
        <v>0</v>
      </c>
      <c r="AC95" s="243">
        <f t="shared" si="9"/>
        <v>0</v>
      </c>
      <c r="AD95" s="243">
        <f t="shared" si="10"/>
        <v>0</v>
      </c>
      <c r="AE95" s="243">
        <f t="shared" si="11"/>
        <v>0</v>
      </c>
      <c r="AF95" s="245"/>
    </row>
    <row r="96" spans="1:32" x14ac:dyDescent="0.2">
      <c r="B96" s="247"/>
      <c r="C96" s="247"/>
      <c r="D96" s="279" t="s">
        <v>330</v>
      </c>
      <c r="E96" s="256">
        <f>E93/E94</f>
        <v>1.030262107020983</v>
      </c>
      <c r="F96" s="280" t="s">
        <v>168</v>
      </c>
      <c r="G96" s="251"/>
      <c r="H96" s="251"/>
      <c r="R96" s="241">
        <f t="shared" si="0"/>
        <v>0</v>
      </c>
      <c r="S96" s="242">
        <f t="shared" si="0"/>
        <v>0</v>
      </c>
      <c r="T96" s="243">
        <f t="shared" si="1"/>
        <v>1</v>
      </c>
      <c r="U96" s="242">
        <f t="shared" si="2"/>
        <v>0</v>
      </c>
      <c r="V96" s="242">
        <f t="shared" si="2"/>
        <v>0</v>
      </c>
      <c r="W96" s="242">
        <f t="shared" si="3"/>
        <v>0</v>
      </c>
      <c r="X96" s="1">
        <f t="shared" si="4"/>
        <v>0</v>
      </c>
      <c r="Y96" s="244">
        <f t="shared" si="5"/>
        <v>0</v>
      </c>
      <c r="Z96" s="243">
        <f t="shared" si="6"/>
        <v>0</v>
      </c>
      <c r="AA96" s="243">
        <f t="shared" si="7"/>
        <v>0</v>
      </c>
      <c r="AB96" s="243">
        <f t="shared" si="8"/>
        <v>0</v>
      </c>
      <c r="AC96" s="243">
        <f t="shared" si="9"/>
        <v>0</v>
      </c>
      <c r="AD96" s="243">
        <f t="shared" si="10"/>
        <v>0</v>
      </c>
      <c r="AE96" s="243">
        <f t="shared" si="11"/>
        <v>0</v>
      </c>
      <c r="AF96" s="245"/>
    </row>
    <row r="97" spans="2:32" x14ac:dyDescent="0.2">
      <c r="B97" s="247"/>
      <c r="C97" s="247"/>
      <c r="D97" s="279" t="s">
        <v>331</v>
      </c>
      <c r="E97" s="256">
        <f>E95/E94</f>
        <v>1.5636390038481087</v>
      </c>
      <c r="F97" s="280" t="s">
        <v>168</v>
      </c>
      <c r="G97" s="251"/>
      <c r="H97" s="251"/>
      <c r="R97" s="241">
        <f t="shared" si="0"/>
        <v>0</v>
      </c>
      <c r="S97" s="242">
        <f t="shared" si="0"/>
        <v>0</v>
      </c>
      <c r="T97" s="243">
        <f t="shared" si="1"/>
        <v>1</v>
      </c>
      <c r="U97" s="242">
        <f t="shared" si="2"/>
        <v>0</v>
      </c>
      <c r="V97" s="242">
        <f t="shared" si="2"/>
        <v>0</v>
      </c>
      <c r="W97" s="242">
        <f t="shared" si="3"/>
        <v>0</v>
      </c>
      <c r="X97" s="1">
        <f t="shared" si="4"/>
        <v>0</v>
      </c>
      <c r="Y97" s="244">
        <f t="shared" si="5"/>
        <v>0</v>
      </c>
      <c r="Z97" s="243">
        <f t="shared" si="6"/>
        <v>0</v>
      </c>
      <c r="AA97" s="243">
        <f t="shared" si="7"/>
        <v>0</v>
      </c>
      <c r="AB97" s="243">
        <f t="shared" si="8"/>
        <v>0</v>
      </c>
      <c r="AC97" s="243">
        <f t="shared" si="9"/>
        <v>0</v>
      </c>
      <c r="AD97" s="243">
        <f t="shared" si="10"/>
        <v>0</v>
      </c>
      <c r="AE97" s="243">
        <f t="shared" si="11"/>
        <v>0</v>
      </c>
      <c r="AF97" s="245"/>
    </row>
    <row r="98" spans="2:32" x14ac:dyDescent="0.2">
      <c r="B98" s="247"/>
      <c r="C98" s="247"/>
      <c r="G98" s="251"/>
      <c r="H98" s="251"/>
      <c r="R98" s="241">
        <f t="shared" si="0"/>
        <v>0</v>
      </c>
      <c r="S98" s="242">
        <f t="shared" si="0"/>
        <v>0</v>
      </c>
      <c r="T98" s="243">
        <f t="shared" si="1"/>
        <v>1</v>
      </c>
      <c r="U98" s="242">
        <f t="shared" si="2"/>
        <v>0</v>
      </c>
      <c r="V98" s="242">
        <f t="shared" si="2"/>
        <v>0</v>
      </c>
      <c r="W98" s="242">
        <f t="shared" si="3"/>
        <v>0</v>
      </c>
      <c r="X98" s="1">
        <f t="shared" si="4"/>
        <v>0</v>
      </c>
      <c r="Y98" s="244">
        <f t="shared" si="5"/>
        <v>0</v>
      </c>
      <c r="Z98" s="243">
        <f t="shared" si="6"/>
        <v>0</v>
      </c>
      <c r="AA98" s="243">
        <f t="shared" si="7"/>
        <v>0</v>
      </c>
      <c r="AB98" s="243">
        <f t="shared" si="8"/>
        <v>0</v>
      </c>
      <c r="AC98" s="243">
        <f t="shared" si="9"/>
        <v>0</v>
      </c>
      <c r="AD98" s="243">
        <f t="shared" si="10"/>
        <v>0</v>
      </c>
      <c r="AE98" s="243">
        <f t="shared" si="11"/>
        <v>0</v>
      </c>
      <c r="AF98" s="245"/>
    </row>
    <row r="99" spans="2:32" x14ac:dyDescent="0.2">
      <c r="B99" s="247"/>
      <c r="C99" s="247"/>
      <c r="G99" s="251"/>
      <c r="H99" s="251"/>
      <c r="R99" s="241">
        <f t="shared" si="0"/>
        <v>0</v>
      </c>
      <c r="S99" s="242">
        <f t="shared" si="0"/>
        <v>0</v>
      </c>
      <c r="T99" s="243">
        <f t="shared" si="1"/>
        <v>1</v>
      </c>
      <c r="U99" s="242">
        <f t="shared" si="2"/>
        <v>0</v>
      </c>
      <c r="V99" s="242">
        <f t="shared" si="2"/>
        <v>0</v>
      </c>
      <c r="W99" s="242">
        <f t="shared" si="3"/>
        <v>0</v>
      </c>
      <c r="X99" s="1">
        <f t="shared" si="4"/>
        <v>0</v>
      </c>
      <c r="Y99" s="244">
        <f t="shared" si="5"/>
        <v>0</v>
      </c>
      <c r="Z99" s="243">
        <f t="shared" si="6"/>
        <v>0</v>
      </c>
      <c r="AA99" s="243">
        <f t="shared" si="7"/>
        <v>0</v>
      </c>
      <c r="AB99" s="243">
        <f t="shared" si="8"/>
        <v>0</v>
      </c>
      <c r="AC99" s="243">
        <f t="shared" si="9"/>
        <v>0</v>
      </c>
      <c r="AD99" s="243">
        <f t="shared" si="10"/>
        <v>0</v>
      </c>
      <c r="AE99" s="243">
        <f t="shared" si="11"/>
        <v>0</v>
      </c>
      <c r="AF99" s="245"/>
    </row>
    <row r="100" spans="2:32" x14ac:dyDescent="0.2">
      <c r="B100" s="247"/>
      <c r="C100" s="247"/>
      <c r="G100" s="251"/>
      <c r="H100" s="251"/>
      <c r="R100" s="241">
        <f t="shared" si="0"/>
        <v>0</v>
      </c>
      <c r="S100" s="242">
        <f t="shared" si="0"/>
        <v>0</v>
      </c>
      <c r="T100" s="243">
        <f t="shared" si="1"/>
        <v>1</v>
      </c>
      <c r="U100" s="242">
        <f t="shared" si="2"/>
        <v>0</v>
      </c>
      <c r="V100" s="242">
        <f t="shared" si="2"/>
        <v>0</v>
      </c>
      <c r="W100" s="242">
        <f t="shared" si="3"/>
        <v>0</v>
      </c>
      <c r="X100" s="1">
        <f t="shared" si="4"/>
        <v>0</v>
      </c>
      <c r="Y100" s="244">
        <f t="shared" si="5"/>
        <v>0</v>
      </c>
      <c r="Z100" s="243">
        <f t="shared" si="6"/>
        <v>0</v>
      </c>
      <c r="AA100" s="243">
        <f t="shared" si="7"/>
        <v>0</v>
      </c>
      <c r="AB100" s="243">
        <f t="shared" si="8"/>
        <v>0</v>
      </c>
      <c r="AC100" s="243">
        <f t="shared" si="9"/>
        <v>0</v>
      </c>
      <c r="AD100" s="243">
        <f t="shared" si="10"/>
        <v>0</v>
      </c>
      <c r="AE100" s="243">
        <f t="shared" si="11"/>
        <v>0</v>
      </c>
      <c r="AF100" s="245"/>
    </row>
    <row r="101" spans="2:32" x14ac:dyDescent="0.2">
      <c r="B101" s="247"/>
      <c r="C101" s="247"/>
      <c r="G101" s="251"/>
      <c r="H101" s="251"/>
      <c r="R101" s="241">
        <f t="shared" si="0"/>
        <v>0</v>
      </c>
      <c r="S101" s="242">
        <f t="shared" si="0"/>
        <v>0</v>
      </c>
      <c r="T101" s="243">
        <f t="shared" si="1"/>
        <v>1</v>
      </c>
      <c r="U101" s="242">
        <f t="shared" si="2"/>
        <v>0</v>
      </c>
      <c r="V101" s="242">
        <f t="shared" si="2"/>
        <v>0</v>
      </c>
      <c r="W101" s="242">
        <f t="shared" si="3"/>
        <v>0</v>
      </c>
      <c r="X101" s="1">
        <f t="shared" si="4"/>
        <v>0</v>
      </c>
      <c r="Y101" s="244">
        <f t="shared" si="5"/>
        <v>0</v>
      </c>
      <c r="Z101" s="243">
        <f t="shared" si="6"/>
        <v>0</v>
      </c>
      <c r="AA101" s="243">
        <f t="shared" si="7"/>
        <v>0</v>
      </c>
      <c r="AB101" s="243">
        <f t="shared" si="8"/>
        <v>0</v>
      </c>
      <c r="AC101" s="243">
        <f t="shared" si="9"/>
        <v>0</v>
      </c>
      <c r="AD101" s="243">
        <f t="shared" si="10"/>
        <v>0</v>
      </c>
      <c r="AE101" s="243">
        <f t="shared" si="11"/>
        <v>0</v>
      </c>
      <c r="AF101" s="245"/>
    </row>
    <row r="102" spans="2:32" x14ac:dyDescent="0.2">
      <c r="B102" s="247"/>
      <c r="C102" s="247"/>
      <c r="G102" s="251"/>
      <c r="H102" s="251"/>
      <c r="R102" s="241">
        <f t="shared" si="0"/>
        <v>0</v>
      </c>
      <c r="S102" s="242">
        <f t="shared" si="0"/>
        <v>0</v>
      </c>
      <c r="T102" s="243">
        <f t="shared" si="1"/>
        <v>1</v>
      </c>
      <c r="U102" s="242">
        <f t="shared" si="2"/>
        <v>0</v>
      </c>
      <c r="V102" s="242">
        <f t="shared" si="2"/>
        <v>0</v>
      </c>
      <c r="W102" s="242">
        <f t="shared" si="3"/>
        <v>0</v>
      </c>
      <c r="X102" s="1">
        <f t="shared" si="4"/>
        <v>0</v>
      </c>
      <c r="Y102" s="244">
        <f t="shared" si="5"/>
        <v>0</v>
      </c>
      <c r="Z102" s="243">
        <f t="shared" si="6"/>
        <v>0</v>
      </c>
      <c r="AA102" s="243">
        <f t="shared" si="7"/>
        <v>0</v>
      </c>
      <c r="AB102" s="243">
        <f t="shared" si="8"/>
        <v>0</v>
      </c>
      <c r="AC102" s="243">
        <f t="shared" si="9"/>
        <v>0</v>
      </c>
      <c r="AD102" s="243">
        <f t="shared" si="10"/>
        <v>0</v>
      </c>
      <c r="AE102" s="243">
        <f t="shared" si="11"/>
        <v>0</v>
      </c>
      <c r="AF102" s="245"/>
    </row>
    <row r="103" spans="2:32" x14ac:dyDescent="0.2">
      <c r="B103" s="247"/>
      <c r="C103" s="247"/>
      <c r="G103" s="251"/>
      <c r="H103" s="251"/>
      <c r="R103" s="241">
        <f t="shared" si="0"/>
        <v>0</v>
      </c>
      <c r="S103" s="242">
        <f t="shared" si="0"/>
        <v>0</v>
      </c>
      <c r="T103" s="243">
        <f t="shared" si="1"/>
        <v>1</v>
      </c>
      <c r="U103" s="242">
        <f t="shared" si="2"/>
        <v>0</v>
      </c>
      <c r="V103" s="242">
        <f t="shared" si="2"/>
        <v>0</v>
      </c>
      <c r="W103" s="242">
        <f t="shared" si="3"/>
        <v>0</v>
      </c>
      <c r="X103" s="1">
        <f t="shared" si="4"/>
        <v>0</v>
      </c>
      <c r="Y103" s="244">
        <f t="shared" si="5"/>
        <v>0</v>
      </c>
      <c r="Z103" s="243">
        <f t="shared" si="6"/>
        <v>0</v>
      </c>
      <c r="AA103" s="243">
        <f t="shared" si="7"/>
        <v>0</v>
      </c>
      <c r="AB103" s="243">
        <f t="shared" si="8"/>
        <v>0</v>
      </c>
      <c r="AC103" s="243">
        <f t="shared" si="9"/>
        <v>0</v>
      </c>
      <c r="AD103" s="243">
        <f t="shared" si="10"/>
        <v>0</v>
      </c>
      <c r="AE103" s="243">
        <f t="shared" si="11"/>
        <v>0</v>
      </c>
      <c r="AF103" s="245"/>
    </row>
    <row r="104" spans="2:32" x14ac:dyDescent="0.2">
      <c r="B104" s="247"/>
      <c r="C104" s="247"/>
      <c r="G104" s="251"/>
      <c r="H104" s="251"/>
      <c r="R104" s="241">
        <f t="shared" si="0"/>
        <v>0</v>
      </c>
      <c r="S104" s="242">
        <f t="shared" si="0"/>
        <v>0</v>
      </c>
      <c r="T104" s="243">
        <f t="shared" si="1"/>
        <v>1</v>
      </c>
      <c r="U104" s="242">
        <f t="shared" si="2"/>
        <v>0</v>
      </c>
      <c r="V104" s="242">
        <f t="shared" si="2"/>
        <v>0</v>
      </c>
      <c r="W104" s="242">
        <f t="shared" si="3"/>
        <v>0</v>
      </c>
      <c r="X104" s="1">
        <f t="shared" si="4"/>
        <v>0</v>
      </c>
      <c r="Y104" s="244">
        <f t="shared" si="5"/>
        <v>0</v>
      </c>
      <c r="Z104" s="243">
        <f t="shared" si="6"/>
        <v>0</v>
      </c>
      <c r="AA104" s="243">
        <f t="shared" si="7"/>
        <v>0</v>
      </c>
      <c r="AB104" s="243">
        <f t="shared" si="8"/>
        <v>0</v>
      </c>
      <c r="AC104" s="243">
        <f t="shared" si="9"/>
        <v>0</v>
      </c>
      <c r="AD104" s="243">
        <f t="shared" si="10"/>
        <v>0</v>
      </c>
      <c r="AE104" s="243">
        <f t="shared" si="11"/>
        <v>0</v>
      </c>
      <c r="AF104" s="245"/>
    </row>
    <row r="105" spans="2:32" x14ac:dyDescent="0.2">
      <c r="B105" s="247"/>
      <c r="C105" s="247"/>
      <c r="G105" s="251"/>
      <c r="H105" s="251"/>
      <c r="R105" s="241">
        <f t="shared" si="0"/>
        <v>0</v>
      </c>
      <c r="S105" s="242">
        <f t="shared" si="0"/>
        <v>0</v>
      </c>
      <c r="T105" s="243">
        <f t="shared" si="1"/>
        <v>1</v>
      </c>
      <c r="U105" s="242">
        <f t="shared" si="2"/>
        <v>0</v>
      </c>
      <c r="V105" s="242">
        <f t="shared" si="2"/>
        <v>0</v>
      </c>
      <c r="W105" s="242">
        <f t="shared" si="3"/>
        <v>0</v>
      </c>
      <c r="X105" s="1">
        <f t="shared" si="4"/>
        <v>0</v>
      </c>
      <c r="Y105" s="244">
        <f t="shared" si="5"/>
        <v>0</v>
      </c>
      <c r="Z105" s="243">
        <f t="shared" si="6"/>
        <v>0</v>
      </c>
      <c r="AA105" s="243">
        <f t="shared" si="7"/>
        <v>0</v>
      </c>
      <c r="AB105" s="243">
        <f t="shared" si="8"/>
        <v>0</v>
      </c>
      <c r="AC105" s="243">
        <f t="shared" si="9"/>
        <v>0</v>
      </c>
      <c r="AD105" s="243">
        <f t="shared" si="10"/>
        <v>0</v>
      </c>
      <c r="AE105" s="243">
        <f t="shared" si="11"/>
        <v>0</v>
      </c>
      <c r="AF105" s="245"/>
    </row>
    <row r="106" spans="2:32" x14ac:dyDescent="0.2">
      <c r="B106" s="247"/>
      <c r="C106" s="247"/>
      <c r="G106" s="251"/>
      <c r="H106" s="251"/>
      <c r="R106" s="241">
        <f t="shared" si="0"/>
        <v>0</v>
      </c>
      <c r="S106" s="242">
        <f t="shared" si="0"/>
        <v>0</v>
      </c>
      <c r="T106" s="243">
        <f t="shared" si="1"/>
        <v>1</v>
      </c>
      <c r="U106" s="242">
        <f t="shared" si="2"/>
        <v>0</v>
      </c>
      <c r="V106" s="242">
        <f t="shared" si="2"/>
        <v>0</v>
      </c>
      <c r="W106" s="242">
        <f t="shared" si="3"/>
        <v>0</v>
      </c>
      <c r="X106" s="1">
        <f t="shared" si="4"/>
        <v>0</v>
      </c>
      <c r="Y106" s="244">
        <f t="shared" si="5"/>
        <v>0</v>
      </c>
      <c r="Z106" s="243">
        <f t="shared" si="6"/>
        <v>0</v>
      </c>
      <c r="AA106" s="243">
        <f t="shared" si="7"/>
        <v>0</v>
      </c>
      <c r="AB106" s="243">
        <f t="shared" si="8"/>
        <v>0</v>
      </c>
      <c r="AC106" s="243">
        <f t="shared" si="9"/>
        <v>0</v>
      </c>
      <c r="AD106" s="243">
        <f t="shared" si="10"/>
        <v>0</v>
      </c>
      <c r="AE106" s="243">
        <f t="shared" si="11"/>
        <v>0</v>
      </c>
      <c r="AF106" s="245"/>
    </row>
    <row r="107" spans="2:32" x14ac:dyDescent="0.2">
      <c r="B107" s="247"/>
      <c r="C107" s="247"/>
      <c r="G107" s="251"/>
      <c r="H107" s="251"/>
      <c r="R107" s="241">
        <f t="shared" si="0"/>
        <v>0</v>
      </c>
      <c r="S107" s="242">
        <f t="shared" si="0"/>
        <v>0</v>
      </c>
      <c r="T107" s="243">
        <f t="shared" si="1"/>
        <v>1</v>
      </c>
      <c r="U107" s="242">
        <f t="shared" si="2"/>
        <v>0</v>
      </c>
      <c r="V107" s="242">
        <f t="shared" si="2"/>
        <v>0</v>
      </c>
      <c r="W107" s="242">
        <f t="shared" si="3"/>
        <v>0</v>
      </c>
      <c r="X107" s="1">
        <f t="shared" si="4"/>
        <v>0</v>
      </c>
      <c r="Y107" s="244">
        <f t="shared" si="5"/>
        <v>0</v>
      </c>
      <c r="Z107" s="243">
        <f t="shared" si="6"/>
        <v>0</v>
      </c>
      <c r="AA107" s="243">
        <f t="shared" si="7"/>
        <v>0</v>
      </c>
      <c r="AB107" s="243">
        <f t="shared" si="8"/>
        <v>0</v>
      </c>
      <c r="AC107" s="243">
        <f t="shared" si="9"/>
        <v>0</v>
      </c>
      <c r="AD107" s="243">
        <f t="shared" si="10"/>
        <v>0</v>
      </c>
      <c r="AE107" s="243">
        <f t="shared" si="11"/>
        <v>0</v>
      </c>
      <c r="AF107" s="245"/>
    </row>
    <row r="108" spans="2:32" x14ac:dyDescent="0.2">
      <c r="B108" s="247"/>
      <c r="C108" s="247"/>
      <c r="G108" s="251"/>
      <c r="H108" s="251"/>
      <c r="R108" s="241">
        <f t="shared" si="0"/>
        <v>0</v>
      </c>
      <c r="S108" s="242">
        <f t="shared" si="0"/>
        <v>0</v>
      </c>
      <c r="T108" s="243">
        <f t="shared" si="1"/>
        <v>1</v>
      </c>
      <c r="U108" s="242">
        <f t="shared" si="2"/>
        <v>0</v>
      </c>
      <c r="V108" s="242">
        <f t="shared" si="2"/>
        <v>0</v>
      </c>
      <c r="W108" s="242">
        <f t="shared" si="3"/>
        <v>0</v>
      </c>
      <c r="X108" s="1">
        <f t="shared" si="4"/>
        <v>0</v>
      </c>
      <c r="Y108" s="244">
        <f t="shared" si="5"/>
        <v>0</v>
      </c>
      <c r="Z108" s="243">
        <f t="shared" si="6"/>
        <v>0</v>
      </c>
      <c r="AA108" s="243">
        <f t="shared" si="7"/>
        <v>0</v>
      </c>
      <c r="AB108" s="243">
        <f t="shared" si="8"/>
        <v>0</v>
      </c>
      <c r="AC108" s="243">
        <f t="shared" si="9"/>
        <v>0</v>
      </c>
      <c r="AD108" s="243">
        <f t="shared" si="10"/>
        <v>0</v>
      </c>
      <c r="AE108" s="243">
        <f t="shared" si="11"/>
        <v>0</v>
      </c>
      <c r="AF108" s="245"/>
    </row>
    <row r="109" spans="2:32" x14ac:dyDescent="0.2">
      <c r="B109" s="247"/>
      <c r="C109" s="247"/>
      <c r="G109" s="251"/>
      <c r="H109" s="251"/>
      <c r="R109" s="241">
        <f t="shared" si="0"/>
        <v>0</v>
      </c>
      <c r="S109" s="242">
        <f t="shared" si="0"/>
        <v>0</v>
      </c>
      <c r="T109" s="243">
        <f t="shared" si="1"/>
        <v>1</v>
      </c>
      <c r="U109" s="242">
        <f t="shared" si="2"/>
        <v>0</v>
      </c>
      <c r="V109" s="242">
        <f t="shared" si="2"/>
        <v>0</v>
      </c>
      <c r="W109" s="242">
        <f t="shared" si="3"/>
        <v>0</v>
      </c>
      <c r="X109" s="1">
        <f t="shared" si="4"/>
        <v>0</v>
      </c>
      <c r="Y109" s="244">
        <f t="shared" si="5"/>
        <v>0</v>
      </c>
      <c r="Z109" s="243">
        <f t="shared" si="6"/>
        <v>0</v>
      </c>
      <c r="AA109" s="243">
        <f t="shared" si="7"/>
        <v>0</v>
      </c>
      <c r="AB109" s="243">
        <f t="shared" si="8"/>
        <v>0</v>
      </c>
      <c r="AC109" s="243">
        <f t="shared" si="9"/>
        <v>0</v>
      </c>
      <c r="AD109" s="243">
        <f t="shared" si="10"/>
        <v>0</v>
      </c>
      <c r="AE109" s="243">
        <f t="shared" si="11"/>
        <v>0</v>
      </c>
      <c r="AF109" s="245"/>
    </row>
    <row r="110" spans="2:32" x14ac:dyDescent="0.2">
      <c r="B110" s="247"/>
      <c r="C110" s="247"/>
      <c r="G110" s="251"/>
      <c r="H110" s="251"/>
      <c r="R110" s="241">
        <f t="shared" si="0"/>
        <v>0</v>
      </c>
      <c r="S110" s="242">
        <f t="shared" si="0"/>
        <v>0</v>
      </c>
      <c r="T110" s="243">
        <f t="shared" si="1"/>
        <v>1</v>
      </c>
      <c r="U110" s="242">
        <f t="shared" si="2"/>
        <v>0</v>
      </c>
      <c r="V110" s="242">
        <f t="shared" si="2"/>
        <v>0</v>
      </c>
      <c r="W110" s="242">
        <f t="shared" si="3"/>
        <v>0</v>
      </c>
      <c r="X110" s="1">
        <f t="shared" si="4"/>
        <v>0</v>
      </c>
      <c r="Y110" s="244">
        <f t="shared" si="5"/>
        <v>0</v>
      </c>
      <c r="Z110" s="243">
        <f t="shared" si="6"/>
        <v>0</v>
      </c>
      <c r="AA110" s="243">
        <f t="shared" si="7"/>
        <v>0</v>
      </c>
      <c r="AB110" s="243">
        <f t="shared" si="8"/>
        <v>0</v>
      </c>
      <c r="AC110" s="243">
        <f t="shared" si="9"/>
        <v>0</v>
      </c>
      <c r="AD110" s="243">
        <f t="shared" si="10"/>
        <v>0</v>
      </c>
      <c r="AE110" s="243">
        <f t="shared" si="11"/>
        <v>0</v>
      </c>
      <c r="AF110" s="245"/>
    </row>
    <row r="111" spans="2:32" x14ac:dyDescent="0.2">
      <c r="B111" s="247"/>
      <c r="C111" s="247"/>
      <c r="G111" s="251"/>
      <c r="H111" s="251"/>
      <c r="R111" s="241">
        <f t="shared" si="0"/>
        <v>0</v>
      </c>
      <c r="S111" s="242">
        <f t="shared" si="0"/>
        <v>0</v>
      </c>
      <c r="T111" s="243">
        <f t="shared" si="1"/>
        <v>1</v>
      </c>
      <c r="U111" s="242">
        <f t="shared" si="2"/>
        <v>0</v>
      </c>
      <c r="V111" s="242">
        <f t="shared" si="2"/>
        <v>0</v>
      </c>
      <c r="W111" s="242">
        <f t="shared" si="3"/>
        <v>0</v>
      </c>
      <c r="X111" s="1">
        <f t="shared" si="4"/>
        <v>0</v>
      </c>
      <c r="Y111" s="244">
        <f t="shared" si="5"/>
        <v>0</v>
      </c>
      <c r="Z111" s="243">
        <f t="shared" si="6"/>
        <v>0</v>
      </c>
      <c r="AA111" s="243">
        <f t="shared" si="7"/>
        <v>0</v>
      </c>
      <c r="AB111" s="243">
        <f t="shared" si="8"/>
        <v>0</v>
      </c>
      <c r="AC111" s="243">
        <f t="shared" si="9"/>
        <v>0</v>
      </c>
      <c r="AD111" s="243">
        <f t="shared" si="10"/>
        <v>0</v>
      </c>
      <c r="AE111" s="243">
        <f t="shared" si="11"/>
        <v>0</v>
      </c>
      <c r="AF111" s="245"/>
    </row>
    <row r="112" spans="2:32" x14ac:dyDescent="0.2">
      <c r="B112" s="247"/>
      <c r="C112" s="247"/>
      <c r="D112" s="281"/>
      <c r="G112" s="282"/>
      <c r="H112" s="282"/>
      <c r="R112" s="241">
        <f t="shared" si="0"/>
        <v>0</v>
      </c>
      <c r="S112" s="242">
        <f t="shared" si="0"/>
        <v>0</v>
      </c>
      <c r="T112" s="243">
        <f t="shared" si="1"/>
        <v>1</v>
      </c>
      <c r="U112" s="242">
        <f t="shared" si="2"/>
        <v>0</v>
      </c>
      <c r="V112" s="242">
        <f t="shared" si="2"/>
        <v>0</v>
      </c>
      <c r="W112" s="242">
        <f t="shared" si="3"/>
        <v>0</v>
      </c>
      <c r="X112" s="1">
        <f t="shared" si="4"/>
        <v>0</v>
      </c>
      <c r="Y112" s="244">
        <f t="shared" si="5"/>
        <v>0</v>
      </c>
      <c r="Z112" s="243">
        <f t="shared" si="6"/>
        <v>0</v>
      </c>
      <c r="AA112" s="243">
        <f t="shared" si="7"/>
        <v>0</v>
      </c>
      <c r="AB112" s="243">
        <f t="shared" si="8"/>
        <v>0</v>
      </c>
      <c r="AC112" s="243">
        <f t="shared" si="9"/>
        <v>0</v>
      </c>
      <c r="AD112" s="243">
        <f t="shared" si="10"/>
        <v>0</v>
      </c>
      <c r="AE112" s="243">
        <f t="shared" si="11"/>
        <v>0</v>
      </c>
      <c r="AF112" s="245"/>
    </row>
    <row r="113" spans="1:32" x14ac:dyDescent="0.2">
      <c r="B113" s="247"/>
      <c r="C113" s="247"/>
      <c r="D113" s="281"/>
      <c r="G113" s="282"/>
      <c r="H113" s="282"/>
      <c r="R113" s="241">
        <f t="shared" si="0"/>
        <v>0</v>
      </c>
      <c r="S113" s="242">
        <f t="shared" si="0"/>
        <v>0</v>
      </c>
      <c r="T113" s="243">
        <f t="shared" si="1"/>
        <v>1</v>
      </c>
      <c r="U113" s="242">
        <f t="shared" si="2"/>
        <v>0</v>
      </c>
      <c r="V113" s="242">
        <f t="shared" si="2"/>
        <v>0</v>
      </c>
      <c r="W113" s="242">
        <f t="shared" si="3"/>
        <v>0</v>
      </c>
      <c r="X113" s="1">
        <f t="shared" si="4"/>
        <v>0</v>
      </c>
      <c r="Y113" s="244">
        <f t="shared" si="5"/>
        <v>0</v>
      </c>
      <c r="Z113" s="243">
        <f t="shared" si="6"/>
        <v>0</v>
      </c>
      <c r="AA113" s="243">
        <f t="shared" si="7"/>
        <v>0</v>
      </c>
      <c r="AB113" s="243">
        <f t="shared" si="8"/>
        <v>0</v>
      </c>
      <c r="AC113" s="243">
        <f t="shared" si="9"/>
        <v>0</v>
      </c>
      <c r="AD113" s="243">
        <f t="shared" si="10"/>
        <v>0</v>
      </c>
      <c r="AE113" s="243">
        <f t="shared" si="11"/>
        <v>0</v>
      </c>
      <c r="AF113" s="245"/>
    </row>
    <row r="114" spans="1:32" ht="13.5" thickBot="1" x14ac:dyDescent="0.25">
      <c r="B114" s="283"/>
      <c r="C114" s="283"/>
      <c r="D114" s="281"/>
      <c r="G114" s="284"/>
      <c r="H114" s="284"/>
      <c r="R114" s="241">
        <f t="shared" si="0"/>
        <v>0</v>
      </c>
      <c r="S114" s="242">
        <f t="shared" si="0"/>
        <v>0</v>
      </c>
      <c r="T114" s="243">
        <f t="shared" si="1"/>
        <v>1</v>
      </c>
      <c r="U114" s="242">
        <f t="shared" si="2"/>
        <v>0</v>
      </c>
      <c r="V114" s="242">
        <f t="shared" si="2"/>
        <v>0</v>
      </c>
      <c r="W114" s="242">
        <f t="shared" si="3"/>
        <v>0</v>
      </c>
      <c r="X114" s="1">
        <f t="shared" si="4"/>
        <v>0</v>
      </c>
      <c r="Y114" s="244">
        <f t="shared" si="5"/>
        <v>0</v>
      </c>
      <c r="Z114" s="243">
        <f t="shared" si="6"/>
        <v>0</v>
      </c>
      <c r="AA114" s="243">
        <f t="shared" si="7"/>
        <v>0</v>
      </c>
      <c r="AB114" s="243">
        <f t="shared" si="8"/>
        <v>0</v>
      </c>
      <c r="AC114" s="243">
        <f t="shared" si="9"/>
        <v>0</v>
      </c>
      <c r="AD114" s="243">
        <f t="shared" si="10"/>
        <v>0</v>
      </c>
      <c r="AE114" s="243">
        <f t="shared" si="11"/>
        <v>0</v>
      </c>
      <c r="AF114" s="245"/>
    </row>
    <row r="115" spans="1:32" x14ac:dyDescent="0.2">
      <c r="G115" s="281"/>
      <c r="H115" s="281"/>
      <c r="R115" s="241">
        <f t="shared" si="0"/>
        <v>0</v>
      </c>
      <c r="S115" s="242">
        <f t="shared" si="0"/>
        <v>0</v>
      </c>
      <c r="T115" s="243">
        <f t="shared" si="1"/>
        <v>0</v>
      </c>
      <c r="U115" s="242">
        <f t="shared" si="2"/>
        <v>0</v>
      </c>
      <c r="V115" s="242">
        <f t="shared" si="2"/>
        <v>0</v>
      </c>
      <c r="W115" s="242">
        <f t="shared" si="3"/>
        <v>0</v>
      </c>
      <c r="X115" s="1">
        <f t="shared" si="4"/>
        <v>0</v>
      </c>
      <c r="Y115" s="244">
        <f t="shared" si="5"/>
        <v>0</v>
      </c>
      <c r="Z115" s="243">
        <f t="shared" si="6"/>
        <v>0</v>
      </c>
      <c r="AA115" s="243">
        <f t="shared" si="7"/>
        <v>0</v>
      </c>
      <c r="AB115" s="243">
        <f t="shared" si="8"/>
        <v>0</v>
      </c>
      <c r="AC115" s="243">
        <f t="shared" si="9"/>
        <v>0</v>
      </c>
      <c r="AD115" s="243">
        <f t="shared" si="10"/>
        <v>0</v>
      </c>
      <c r="AE115" s="243">
        <f t="shared" si="11"/>
        <v>0</v>
      </c>
      <c r="AF115" s="245"/>
    </row>
    <row r="116" spans="1:32" x14ac:dyDescent="0.2">
      <c r="B116" s="17" t="s">
        <v>332</v>
      </c>
      <c r="C116" s="285">
        <v>0.6</v>
      </c>
      <c r="G116" s="281"/>
      <c r="H116" s="281"/>
      <c r="R116" s="286"/>
      <c r="S116" s="1"/>
      <c r="T116" s="243"/>
      <c r="U116" s="1"/>
      <c r="V116" s="1"/>
      <c r="W116" s="1"/>
      <c r="X116" s="1"/>
      <c r="Y116" s="244"/>
      <c r="Z116" s="243"/>
      <c r="AA116" s="243"/>
      <c r="AB116" s="243"/>
      <c r="AC116" s="243"/>
      <c r="AD116" s="243"/>
      <c r="AE116" s="243"/>
      <c r="AF116" s="245"/>
    </row>
    <row r="117" spans="1:32" ht="15" x14ac:dyDescent="0.25">
      <c r="B117" s="210" t="s">
        <v>333</v>
      </c>
      <c r="C117" s="285">
        <v>1.7</v>
      </c>
      <c r="G117" s="281"/>
      <c r="H117" s="281"/>
      <c r="R117" s="286"/>
      <c r="S117" s="1"/>
      <c r="T117" s="243"/>
      <c r="U117" s="1"/>
      <c r="V117" s="1"/>
      <c r="W117" s="1"/>
      <c r="X117" s="1"/>
      <c r="Y117" s="244"/>
      <c r="Z117" s="243"/>
      <c r="AA117" s="243"/>
      <c r="AB117" s="243"/>
      <c r="AC117" s="243"/>
      <c r="AD117" s="243"/>
      <c r="AE117" s="243"/>
      <c r="AF117" s="245"/>
    </row>
    <row r="118" spans="1:32" x14ac:dyDescent="0.2">
      <c r="G118" s="281"/>
      <c r="H118" s="281"/>
      <c r="R118" s="286"/>
      <c r="S118" s="1"/>
      <c r="T118" s="243"/>
      <c r="U118" s="1"/>
      <c r="V118" s="1"/>
      <c r="W118" s="1"/>
      <c r="X118" s="1"/>
      <c r="Y118" s="244"/>
      <c r="Z118" s="243"/>
      <c r="AA118" s="243"/>
      <c r="AB118" s="243"/>
      <c r="AC118" s="243"/>
      <c r="AD118" s="243"/>
      <c r="AE118" s="243"/>
      <c r="AF118" s="245"/>
    </row>
    <row r="119" spans="1:32" ht="16.5" thickBot="1" x14ac:dyDescent="0.3">
      <c r="A119" s="172" t="s">
        <v>334</v>
      </c>
      <c r="B119" s="173" t="s">
        <v>335</v>
      </c>
      <c r="G119" s="281"/>
      <c r="H119" s="281"/>
      <c r="R119" s="287"/>
      <c r="S119" s="288"/>
      <c r="T119" s="288"/>
      <c r="U119" s="288"/>
      <c r="V119" s="288"/>
      <c r="W119" s="288"/>
      <c r="X119" s="288"/>
      <c r="Y119" s="288"/>
      <c r="Z119" s="288"/>
      <c r="AA119" s="288"/>
      <c r="AB119" s="288"/>
      <c r="AC119" s="288"/>
      <c r="AD119" s="288"/>
      <c r="AE119" s="288"/>
      <c r="AF119" s="235"/>
    </row>
    <row r="120" spans="1:32" x14ac:dyDescent="0.2">
      <c r="G120" s="281"/>
      <c r="H120" s="281"/>
    </row>
    <row r="121" spans="1:32" ht="15.75" x14ac:dyDescent="0.25">
      <c r="B121" s="289" t="s">
        <v>336</v>
      </c>
      <c r="G121" s="281"/>
      <c r="H121" s="281"/>
      <c r="Y121">
        <f t="shared" ref="Y121:AE121" si="13">SUM(Y81:Y116)</f>
        <v>3.875</v>
      </c>
      <c r="Z121">
        <f t="shared" si="13"/>
        <v>3.0666666666666664</v>
      </c>
      <c r="AA121">
        <f t="shared" si="13"/>
        <v>4.708333333333333</v>
      </c>
      <c r="AB121">
        <f t="shared" si="13"/>
        <v>8.3802083333333321</v>
      </c>
      <c r="AC121">
        <f t="shared" si="13"/>
        <v>3.2752083333333335</v>
      </c>
      <c r="AD121">
        <f t="shared" si="13"/>
        <v>-7.75</v>
      </c>
      <c r="AE121">
        <f t="shared" si="13"/>
        <v>3.1505208333333341</v>
      </c>
    </row>
    <row r="122" spans="1:32" x14ac:dyDescent="0.2">
      <c r="B122" t="s">
        <v>337</v>
      </c>
      <c r="G122" s="281"/>
      <c r="H122" s="281"/>
      <c r="Z122">
        <f>Z121/Y121</f>
        <v>0.79139784946236558</v>
      </c>
      <c r="AA122">
        <f>AA121/Y121</f>
        <v>1.2150537634408602</v>
      </c>
      <c r="AB122">
        <f>AB121-Y121*AA122^2</f>
        <v>2.6593301971326158</v>
      </c>
      <c r="AC122">
        <f>AC121-Y121*AA122^2</f>
        <v>-2.4456698028673829</v>
      </c>
    </row>
    <row r="123" spans="1:32" x14ac:dyDescent="0.2">
      <c r="B123" t="s">
        <v>338</v>
      </c>
      <c r="G123" s="281"/>
      <c r="H123" s="281"/>
      <c r="Y123" s="17" t="s">
        <v>174</v>
      </c>
      <c r="Z123" s="17" t="s">
        <v>297</v>
      </c>
      <c r="AA123" s="17" t="s">
        <v>298</v>
      </c>
      <c r="AB123" s="17" t="s">
        <v>307</v>
      </c>
      <c r="AC123" s="17" t="s">
        <v>339</v>
      </c>
    </row>
    <row r="124" spans="1:32" x14ac:dyDescent="0.2">
      <c r="B124" t="s">
        <v>340</v>
      </c>
      <c r="G124" s="281"/>
      <c r="H124" s="281"/>
      <c r="R124" s="17" t="s">
        <v>341</v>
      </c>
    </row>
    <row r="125" spans="1:32" ht="13.5" thickBot="1" x14ac:dyDescent="0.25">
      <c r="B125" t="s">
        <v>342</v>
      </c>
      <c r="G125" s="281"/>
      <c r="H125" s="281"/>
    </row>
    <row r="126" spans="1:32" ht="16.5" x14ac:dyDescent="0.3">
      <c r="B126" t="s">
        <v>343</v>
      </c>
      <c r="G126" s="290" t="s">
        <v>344</v>
      </c>
      <c r="R126" s="291" t="s">
        <v>341</v>
      </c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25"/>
    </row>
    <row r="127" spans="1:32" ht="17.25" thickBot="1" x14ac:dyDescent="0.35">
      <c r="B127" t="s">
        <v>345</v>
      </c>
      <c r="G127" s="290" t="s">
        <v>346</v>
      </c>
      <c r="R127" s="293" t="s">
        <v>297</v>
      </c>
      <c r="S127" s="294" t="s">
        <v>298</v>
      </c>
      <c r="T127" s="294" t="s">
        <v>300</v>
      </c>
      <c r="U127" s="295" t="s">
        <v>301</v>
      </c>
      <c r="V127" s="295" t="s">
        <v>302</v>
      </c>
      <c r="W127" s="295" t="s">
        <v>303</v>
      </c>
      <c r="X127" s="295" t="s">
        <v>304</v>
      </c>
      <c r="Y127" s="294" t="s">
        <v>174</v>
      </c>
      <c r="Z127" s="294" t="s">
        <v>305</v>
      </c>
      <c r="AA127" s="294" t="s">
        <v>306</v>
      </c>
      <c r="AB127" s="294" t="s">
        <v>307</v>
      </c>
      <c r="AC127" s="294" t="s">
        <v>308</v>
      </c>
      <c r="AD127" s="294" t="s">
        <v>309</v>
      </c>
      <c r="AE127" s="294" t="s">
        <v>310</v>
      </c>
      <c r="AF127" s="235"/>
    </row>
    <row r="128" spans="1:32" x14ac:dyDescent="0.2">
      <c r="G128" s="281"/>
      <c r="H128" s="281"/>
      <c r="R128" s="286">
        <f t="shared" ref="R128:S159" si="14">G81</f>
        <v>2</v>
      </c>
      <c r="S128" s="1">
        <f t="shared" si="14"/>
        <v>0.5</v>
      </c>
      <c r="T128" s="243">
        <f t="shared" ref="T128:T143" si="15">IF(OR(ISBLANK(R128),ISBLANK(R129)),0,1)</f>
        <v>1</v>
      </c>
      <c r="U128" s="1">
        <f t="shared" ref="U128:V143" si="16">R129-R128</f>
        <v>0</v>
      </c>
      <c r="V128" s="1">
        <f t="shared" si="16"/>
        <v>2.5</v>
      </c>
      <c r="W128" s="1">
        <f t="shared" ref="W128:W143" si="17">R129+R128</f>
        <v>4</v>
      </c>
      <c r="X128" s="1">
        <f t="shared" ref="X128:X143" si="18">+S129+S128</f>
        <v>3.5</v>
      </c>
      <c r="Y128" s="244">
        <f t="shared" ref="Y128:Y144" si="19">T128*V128*W128/2</f>
        <v>5</v>
      </c>
      <c r="Z128" s="243">
        <f t="shared" ref="Z128:Z144" si="20">T128*V128/8*(W128^2+U128^2/3)</f>
        <v>5</v>
      </c>
      <c r="AA128" s="243">
        <f t="shared" ref="AA128:AA144" si="21">-T128*U128/8*(X128^2+V128^2/3)</f>
        <v>0</v>
      </c>
      <c r="AB128" s="243">
        <f t="shared" ref="AB128:AB144" si="22">-T128*U128*X128/24*(V128^2+X128^2)</f>
        <v>0</v>
      </c>
      <c r="AC128" s="243">
        <f t="shared" ref="AC128:AC144" si="23">T128*V128*W128/24*(U128^2+W128^2)</f>
        <v>6.666666666666667</v>
      </c>
      <c r="AD128" s="243">
        <f t="shared" ref="AD128:AD143" si="24">R129*S128-R128*S129</f>
        <v>-5</v>
      </c>
      <c r="AE128" s="243">
        <f t="shared" ref="AE128:AE143" si="25">IF(U128&lt;&gt;0,-T128/U128*(V128^2*W128/8*(R128^2+R129^2)+V128/3*AD128*(R128^2+R128*R129+R129^2)+AD128^2*(R128+R129)/4),0)</f>
        <v>0</v>
      </c>
      <c r="AF128" s="245"/>
    </row>
    <row r="129" spans="2:32" x14ac:dyDescent="0.2">
      <c r="E129" s="281"/>
      <c r="G129" s="281"/>
      <c r="H129" s="281"/>
      <c r="R129" s="286">
        <f t="shared" si="14"/>
        <v>2</v>
      </c>
      <c r="S129" s="1">
        <f t="shared" si="14"/>
        <v>3</v>
      </c>
      <c r="T129" s="243">
        <f t="shared" si="15"/>
        <v>1</v>
      </c>
      <c r="U129" s="1">
        <f t="shared" si="16"/>
        <v>-1.3</v>
      </c>
      <c r="V129" s="1">
        <f t="shared" si="16"/>
        <v>0</v>
      </c>
      <c r="W129" s="1">
        <f t="shared" si="17"/>
        <v>2.7</v>
      </c>
      <c r="X129" s="1">
        <f t="shared" si="18"/>
        <v>6</v>
      </c>
      <c r="Y129" s="244">
        <f t="shared" si="19"/>
        <v>0</v>
      </c>
      <c r="Z129" s="243">
        <f t="shared" si="20"/>
        <v>0</v>
      </c>
      <c r="AA129" s="243">
        <f t="shared" si="21"/>
        <v>5.8500000000000005</v>
      </c>
      <c r="AB129" s="243">
        <f t="shared" si="22"/>
        <v>11.700000000000001</v>
      </c>
      <c r="AC129" s="243">
        <f t="shared" si="23"/>
        <v>0</v>
      </c>
      <c r="AD129" s="243">
        <f t="shared" si="24"/>
        <v>-3.9000000000000004</v>
      </c>
      <c r="AE129" s="243">
        <f t="shared" si="25"/>
        <v>7.8975000000000009</v>
      </c>
      <c r="AF129" s="245"/>
    </row>
    <row r="130" spans="2:32" x14ac:dyDescent="0.2">
      <c r="E130" s="281"/>
      <c r="G130" s="281"/>
      <c r="H130" s="281"/>
      <c r="R130" s="286">
        <f t="shared" si="14"/>
        <v>0.7</v>
      </c>
      <c r="S130" s="1">
        <f t="shared" si="14"/>
        <v>3</v>
      </c>
      <c r="T130" s="243">
        <f t="shared" si="15"/>
        <v>1</v>
      </c>
      <c r="U130" s="1">
        <f t="shared" si="16"/>
        <v>1.1000000000000001</v>
      </c>
      <c r="V130" s="1">
        <f t="shared" si="16"/>
        <v>-2.5</v>
      </c>
      <c r="W130" s="1">
        <f t="shared" si="17"/>
        <v>2.5</v>
      </c>
      <c r="X130" s="1">
        <f t="shared" si="18"/>
        <v>3.5</v>
      </c>
      <c r="Y130" s="244">
        <f t="shared" si="19"/>
        <v>-3.125</v>
      </c>
      <c r="Z130" s="243">
        <f t="shared" si="20"/>
        <v>-2.0791666666666666</v>
      </c>
      <c r="AA130" s="243">
        <f t="shared" si="21"/>
        <v>-1.9708333333333337</v>
      </c>
      <c r="AB130" s="243">
        <f t="shared" si="22"/>
        <v>-2.9677083333333334</v>
      </c>
      <c r="AC130" s="243">
        <f t="shared" si="23"/>
        <v>-1.9427083333333335</v>
      </c>
      <c r="AD130" s="243">
        <f t="shared" si="24"/>
        <v>5.0500000000000007</v>
      </c>
      <c r="AE130" s="243">
        <f t="shared" si="25"/>
        <v>-2.0223958333333347</v>
      </c>
      <c r="AF130" s="245"/>
    </row>
    <row r="131" spans="2:32" ht="15.75" x14ac:dyDescent="0.3">
      <c r="D131" s="296" t="s">
        <v>347</v>
      </c>
      <c r="E131" s="297">
        <f>(1-SIN(F67*3.1416/180))/(1+SIN(F67*3.1416/180))</f>
        <v>0.33333239078946375</v>
      </c>
      <c r="G131" s="281"/>
      <c r="H131" s="281"/>
      <c r="I131" s="297">
        <f>(TAN((45-F67/2)*3.1416/180)*TAN((45-F67/2)*3.1416/180))</f>
        <v>0.33333521842706915</v>
      </c>
      <c r="R131" s="286">
        <f t="shared" si="14"/>
        <v>1.8</v>
      </c>
      <c r="S131" s="1">
        <f t="shared" si="14"/>
        <v>0.5</v>
      </c>
      <c r="T131" s="243">
        <f t="shared" si="15"/>
        <v>1</v>
      </c>
      <c r="U131" s="1">
        <f t="shared" si="16"/>
        <v>-1.8</v>
      </c>
      <c r="V131" s="1">
        <f t="shared" si="16"/>
        <v>-0.5</v>
      </c>
      <c r="W131" s="1">
        <f t="shared" si="17"/>
        <v>1.8</v>
      </c>
      <c r="X131" s="1">
        <f t="shared" si="18"/>
        <v>0.5</v>
      </c>
      <c r="Y131" s="244">
        <f t="shared" si="19"/>
        <v>-0.45</v>
      </c>
      <c r="Z131" s="243">
        <f t="shared" si="20"/>
        <v>-0.27</v>
      </c>
      <c r="AA131" s="243">
        <f t="shared" si="21"/>
        <v>7.4999999999999997E-2</v>
      </c>
      <c r="AB131" s="243">
        <f t="shared" si="22"/>
        <v>1.8749999999999999E-2</v>
      </c>
      <c r="AC131" s="243">
        <f t="shared" si="23"/>
        <v>-0.24299999999999999</v>
      </c>
      <c r="AD131" s="243">
        <f t="shared" si="24"/>
        <v>0</v>
      </c>
      <c r="AE131" s="243">
        <f t="shared" si="25"/>
        <v>0.10125000000000002</v>
      </c>
      <c r="AF131" s="245"/>
    </row>
    <row r="132" spans="2:32" x14ac:dyDescent="0.2">
      <c r="D132" s="152" t="s">
        <v>348</v>
      </c>
      <c r="E132" s="298"/>
      <c r="F132" s="298"/>
      <c r="G132" s="152"/>
      <c r="H132" s="281"/>
      <c r="R132" s="286">
        <f t="shared" si="14"/>
        <v>0</v>
      </c>
      <c r="S132" s="1">
        <f t="shared" si="14"/>
        <v>0</v>
      </c>
      <c r="T132" s="243">
        <f t="shared" si="15"/>
        <v>1</v>
      </c>
      <c r="U132" s="1">
        <f t="shared" si="16"/>
        <v>0</v>
      </c>
      <c r="V132" s="1">
        <f t="shared" si="16"/>
        <v>0</v>
      </c>
      <c r="W132" s="1">
        <f t="shared" si="17"/>
        <v>0</v>
      </c>
      <c r="X132" s="1">
        <f t="shared" si="18"/>
        <v>0</v>
      </c>
      <c r="Y132" s="244">
        <f t="shared" si="19"/>
        <v>0</v>
      </c>
      <c r="Z132" s="243">
        <f t="shared" si="20"/>
        <v>0</v>
      </c>
      <c r="AA132" s="243">
        <f t="shared" si="21"/>
        <v>0</v>
      </c>
      <c r="AB132" s="243">
        <f t="shared" si="22"/>
        <v>0</v>
      </c>
      <c r="AC132" s="243">
        <f t="shared" si="23"/>
        <v>0</v>
      </c>
      <c r="AD132" s="243">
        <f t="shared" si="24"/>
        <v>0</v>
      </c>
      <c r="AE132" s="243">
        <f t="shared" si="25"/>
        <v>0</v>
      </c>
      <c r="AF132" s="245"/>
    </row>
    <row r="133" spans="2:32" ht="14.25" x14ac:dyDescent="0.25">
      <c r="C133" s="206" t="s">
        <v>349</v>
      </c>
      <c r="D133" s="299">
        <f>$F$75*$F$65*$E$131*F54^2/2</f>
        <v>2.6999923653946567</v>
      </c>
      <c r="E133" s="281"/>
      <c r="H133" s="281"/>
      <c r="R133" s="286">
        <f t="shared" si="14"/>
        <v>0</v>
      </c>
      <c r="S133" s="1">
        <f t="shared" si="14"/>
        <v>0</v>
      </c>
      <c r="T133" s="243">
        <f t="shared" si="15"/>
        <v>1</v>
      </c>
      <c r="U133" s="1">
        <f t="shared" si="16"/>
        <v>0</v>
      </c>
      <c r="V133" s="1">
        <f t="shared" si="16"/>
        <v>0</v>
      </c>
      <c r="W133" s="1">
        <f t="shared" si="17"/>
        <v>0</v>
      </c>
      <c r="X133" s="1">
        <f t="shared" si="18"/>
        <v>0</v>
      </c>
      <c r="Y133" s="244">
        <f t="shared" si="19"/>
        <v>0</v>
      </c>
      <c r="Z133" s="243">
        <f t="shared" si="20"/>
        <v>0</v>
      </c>
      <c r="AA133" s="243">
        <f t="shared" si="21"/>
        <v>0</v>
      </c>
      <c r="AB133" s="243">
        <f t="shared" si="22"/>
        <v>0</v>
      </c>
      <c r="AC133" s="243">
        <f t="shared" si="23"/>
        <v>0</v>
      </c>
      <c r="AD133" s="243">
        <f t="shared" si="24"/>
        <v>0</v>
      </c>
      <c r="AE133" s="243">
        <f t="shared" si="25"/>
        <v>0</v>
      </c>
      <c r="AF133" s="245"/>
    </row>
    <row r="134" spans="2:32" x14ac:dyDescent="0.2">
      <c r="D134" s="206"/>
      <c r="E134" s="297"/>
      <c r="F134" s="298"/>
      <c r="H134" s="281"/>
      <c r="R134" s="286">
        <f t="shared" si="14"/>
        <v>0</v>
      </c>
      <c r="S134" s="1">
        <f t="shared" si="14"/>
        <v>0</v>
      </c>
      <c r="T134" s="243">
        <f t="shared" si="15"/>
        <v>1</v>
      </c>
      <c r="U134" s="1">
        <f t="shared" si="16"/>
        <v>0</v>
      </c>
      <c r="V134" s="1">
        <f t="shared" si="16"/>
        <v>0</v>
      </c>
      <c r="W134" s="1">
        <f t="shared" si="17"/>
        <v>0</v>
      </c>
      <c r="X134" s="1">
        <f t="shared" si="18"/>
        <v>0</v>
      </c>
      <c r="Y134" s="244">
        <f t="shared" si="19"/>
        <v>0</v>
      </c>
      <c r="Z134" s="243">
        <f t="shared" si="20"/>
        <v>0</v>
      </c>
      <c r="AA134" s="243">
        <f t="shared" si="21"/>
        <v>0</v>
      </c>
      <c r="AB134" s="243">
        <f t="shared" si="22"/>
        <v>0</v>
      </c>
      <c r="AC134" s="243">
        <f t="shared" si="23"/>
        <v>0</v>
      </c>
      <c r="AD134" s="243">
        <f t="shared" si="24"/>
        <v>0</v>
      </c>
      <c r="AE134" s="243">
        <f t="shared" si="25"/>
        <v>0</v>
      </c>
      <c r="AF134" s="245"/>
    </row>
    <row r="135" spans="2:32" ht="15.75" x14ac:dyDescent="0.3">
      <c r="B135" t="s">
        <v>350</v>
      </c>
      <c r="D135" s="296"/>
      <c r="E135" s="281"/>
      <c r="F135" s="298"/>
      <c r="H135" s="281"/>
      <c r="R135" s="286">
        <f t="shared" si="14"/>
        <v>0</v>
      </c>
      <c r="S135" s="1">
        <f t="shared" si="14"/>
        <v>0</v>
      </c>
      <c r="T135" s="243">
        <f t="shared" si="15"/>
        <v>1</v>
      </c>
      <c r="U135" s="1">
        <f t="shared" si="16"/>
        <v>0</v>
      </c>
      <c r="V135" s="1">
        <f t="shared" si="16"/>
        <v>0</v>
      </c>
      <c r="W135" s="1">
        <f t="shared" si="17"/>
        <v>0</v>
      </c>
      <c r="X135" s="1">
        <f t="shared" si="18"/>
        <v>0</v>
      </c>
      <c r="Y135" s="244">
        <f t="shared" si="19"/>
        <v>0</v>
      </c>
      <c r="Z135" s="243">
        <f t="shared" si="20"/>
        <v>0</v>
      </c>
      <c r="AA135" s="243">
        <f t="shared" si="21"/>
        <v>0</v>
      </c>
      <c r="AB135" s="243">
        <f t="shared" si="22"/>
        <v>0</v>
      </c>
      <c r="AC135" s="243">
        <f t="shared" si="23"/>
        <v>0</v>
      </c>
      <c r="AD135" s="243">
        <f t="shared" si="24"/>
        <v>0</v>
      </c>
      <c r="AE135" s="243">
        <f t="shared" si="25"/>
        <v>0</v>
      </c>
      <c r="AF135" s="245"/>
    </row>
    <row r="136" spans="2:32" ht="14.25" x14ac:dyDescent="0.25">
      <c r="C136" s="206" t="s">
        <v>351</v>
      </c>
      <c r="D136" s="300">
        <f>D133*F54/3</f>
        <v>2.6999923653946567</v>
      </c>
      <c r="E136" s="281"/>
      <c r="G136" s="281"/>
      <c r="H136" s="281"/>
      <c r="R136" s="286">
        <f t="shared" si="14"/>
        <v>0</v>
      </c>
      <c r="S136" s="1">
        <f t="shared" si="14"/>
        <v>0</v>
      </c>
      <c r="T136" s="243">
        <f t="shared" si="15"/>
        <v>1</v>
      </c>
      <c r="U136" s="1">
        <f t="shared" si="16"/>
        <v>0</v>
      </c>
      <c r="V136" s="1">
        <f t="shared" si="16"/>
        <v>0</v>
      </c>
      <c r="W136" s="1">
        <f t="shared" si="17"/>
        <v>0</v>
      </c>
      <c r="X136" s="1">
        <f t="shared" si="18"/>
        <v>0</v>
      </c>
      <c r="Y136" s="244">
        <f t="shared" si="19"/>
        <v>0</v>
      </c>
      <c r="Z136" s="243">
        <f t="shared" si="20"/>
        <v>0</v>
      </c>
      <c r="AA136" s="243">
        <f t="shared" si="21"/>
        <v>0</v>
      </c>
      <c r="AB136" s="243">
        <f t="shared" si="22"/>
        <v>0</v>
      </c>
      <c r="AC136" s="243">
        <f t="shared" si="23"/>
        <v>0</v>
      </c>
      <c r="AD136" s="243">
        <f t="shared" si="24"/>
        <v>0</v>
      </c>
      <c r="AE136" s="243">
        <f t="shared" si="25"/>
        <v>0</v>
      </c>
      <c r="AF136" s="245"/>
    </row>
    <row r="137" spans="2:32" x14ac:dyDescent="0.2">
      <c r="G137" s="281"/>
      <c r="H137" s="281"/>
      <c r="R137" s="286">
        <f t="shared" si="14"/>
        <v>0</v>
      </c>
      <c r="S137" s="1">
        <f t="shared" si="14"/>
        <v>0</v>
      </c>
      <c r="T137" s="243">
        <f t="shared" si="15"/>
        <v>1</v>
      </c>
      <c r="U137" s="1">
        <f t="shared" si="16"/>
        <v>0</v>
      </c>
      <c r="V137" s="1">
        <f t="shared" si="16"/>
        <v>0</v>
      </c>
      <c r="W137" s="1">
        <f t="shared" si="17"/>
        <v>0</v>
      </c>
      <c r="X137" s="1">
        <f t="shared" si="18"/>
        <v>0</v>
      </c>
      <c r="Y137" s="244">
        <f t="shared" si="19"/>
        <v>0</v>
      </c>
      <c r="Z137" s="243">
        <f t="shared" si="20"/>
        <v>0</v>
      </c>
      <c r="AA137" s="243">
        <f t="shared" si="21"/>
        <v>0</v>
      </c>
      <c r="AB137" s="243">
        <f t="shared" si="22"/>
        <v>0</v>
      </c>
      <c r="AC137" s="243">
        <f t="shared" si="23"/>
        <v>0</v>
      </c>
      <c r="AD137" s="243">
        <f t="shared" si="24"/>
        <v>0</v>
      </c>
      <c r="AE137" s="243">
        <f t="shared" si="25"/>
        <v>0</v>
      </c>
      <c r="AF137" s="245"/>
    </row>
    <row r="138" spans="2:32" x14ac:dyDescent="0.2">
      <c r="G138" s="281"/>
      <c r="H138" s="281"/>
      <c r="R138" s="286">
        <f t="shared" si="14"/>
        <v>0</v>
      </c>
      <c r="S138" s="1">
        <f t="shared" si="14"/>
        <v>0</v>
      </c>
      <c r="T138" s="243">
        <f t="shared" si="15"/>
        <v>1</v>
      </c>
      <c r="U138" s="1">
        <f t="shared" si="16"/>
        <v>0</v>
      </c>
      <c r="V138" s="1">
        <f t="shared" si="16"/>
        <v>0</v>
      </c>
      <c r="W138" s="1">
        <f t="shared" si="17"/>
        <v>0</v>
      </c>
      <c r="X138" s="1">
        <f t="shared" si="18"/>
        <v>0</v>
      </c>
      <c r="Y138" s="244">
        <f t="shared" si="19"/>
        <v>0</v>
      </c>
      <c r="Z138" s="243">
        <f t="shared" si="20"/>
        <v>0</v>
      </c>
      <c r="AA138" s="243">
        <f t="shared" si="21"/>
        <v>0</v>
      </c>
      <c r="AB138" s="243">
        <f t="shared" si="22"/>
        <v>0</v>
      </c>
      <c r="AC138" s="243">
        <f t="shared" si="23"/>
        <v>0</v>
      </c>
      <c r="AD138" s="243">
        <f t="shared" si="24"/>
        <v>0</v>
      </c>
      <c r="AE138" s="243">
        <f t="shared" si="25"/>
        <v>0</v>
      </c>
      <c r="AF138" s="245"/>
    </row>
    <row r="139" spans="2:32" x14ac:dyDescent="0.2">
      <c r="G139" s="281"/>
      <c r="H139" s="281"/>
      <c r="R139" s="286">
        <f t="shared" si="14"/>
        <v>0</v>
      </c>
      <c r="S139" s="1">
        <f t="shared" si="14"/>
        <v>0</v>
      </c>
      <c r="T139" s="243">
        <f t="shared" si="15"/>
        <v>1</v>
      </c>
      <c r="U139" s="1">
        <f t="shared" si="16"/>
        <v>0</v>
      </c>
      <c r="V139" s="1">
        <f t="shared" si="16"/>
        <v>0</v>
      </c>
      <c r="W139" s="1">
        <f t="shared" si="17"/>
        <v>0</v>
      </c>
      <c r="X139" s="1">
        <f t="shared" si="18"/>
        <v>0</v>
      </c>
      <c r="Y139" s="244">
        <f t="shared" si="19"/>
        <v>0</v>
      </c>
      <c r="Z139" s="243">
        <f t="shared" si="20"/>
        <v>0</v>
      </c>
      <c r="AA139" s="243">
        <f t="shared" si="21"/>
        <v>0</v>
      </c>
      <c r="AB139" s="243">
        <f t="shared" si="22"/>
        <v>0</v>
      </c>
      <c r="AC139" s="243">
        <f t="shared" si="23"/>
        <v>0</v>
      </c>
      <c r="AD139" s="243">
        <f t="shared" si="24"/>
        <v>0</v>
      </c>
      <c r="AE139" s="243">
        <f t="shared" si="25"/>
        <v>0</v>
      </c>
      <c r="AF139" s="245"/>
    </row>
    <row r="140" spans="2:32" x14ac:dyDescent="0.2">
      <c r="G140" s="281"/>
      <c r="H140" s="281"/>
      <c r="R140" s="286">
        <f t="shared" si="14"/>
        <v>0</v>
      </c>
      <c r="S140" s="1">
        <f t="shared" si="14"/>
        <v>0</v>
      </c>
      <c r="T140" s="243">
        <f t="shared" si="15"/>
        <v>1</v>
      </c>
      <c r="U140" s="1">
        <f t="shared" si="16"/>
        <v>0</v>
      </c>
      <c r="V140" s="1">
        <f t="shared" si="16"/>
        <v>0</v>
      </c>
      <c r="W140" s="1">
        <f t="shared" si="17"/>
        <v>0</v>
      </c>
      <c r="X140" s="1">
        <f t="shared" si="18"/>
        <v>0</v>
      </c>
      <c r="Y140" s="244">
        <f t="shared" si="19"/>
        <v>0</v>
      </c>
      <c r="Z140" s="243">
        <f t="shared" si="20"/>
        <v>0</v>
      </c>
      <c r="AA140" s="243">
        <f t="shared" si="21"/>
        <v>0</v>
      </c>
      <c r="AB140" s="243">
        <f t="shared" si="22"/>
        <v>0</v>
      </c>
      <c r="AC140" s="243">
        <f t="shared" si="23"/>
        <v>0</v>
      </c>
      <c r="AD140" s="243">
        <f t="shared" si="24"/>
        <v>0</v>
      </c>
      <c r="AE140" s="243">
        <f t="shared" si="25"/>
        <v>0</v>
      </c>
      <c r="AF140" s="245"/>
    </row>
    <row r="141" spans="2:32" x14ac:dyDescent="0.2">
      <c r="G141" s="281"/>
      <c r="H141" s="281"/>
      <c r="R141" s="286">
        <f t="shared" si="14"/>
        <v>0</v>
      </c>
      <c r="S141" s="1">
        <f t="shared" si="14"/>
        <v>0</v>
      </c>
      <c r="T141" s="243">
        <f t="shared" si="15"/>
        <v>1</v>
      </c>
      <c r="U141" s="1">
        <f t="shared" si="16"/>
        <v>0</v>
      </c>
      <c r="V141" s="1">
        <f t="shared" si="16"/>
        <v>0</v>
      </c>
      <c r="W141" s="1">
        <f t="shared" si="17"/>
        <v>0</v>
      </c>
      <c r="X141" s="1">
        <f t="shared" si="18"/>
        <v>0</v>
      </c>
      <c r="Y141" s="244">
        <f t="shared" si="19"/>
        <v>0</v>
      </c>
      <c r="Z141" s="243">
        <f t="shared" si="20"/>
        <v>0</v>
      </c>
      <c r="AA141" s="243">
        <f t="shared" si="21"/>
        <v>0</v>
      </c>
      <c r="AB141" s="243">
        <f t="shared" si="22"/>
        <v>0</v>
      </c>
      <c r="AC141" s="243">
        <f t="shared" si="23"/>
        <v>0</v>
      </c>
      <c r="AD141" s="243">
        <f t="shared" si="24"/>
        <v>0</v>
      </c>
      <c r="AE141" s="243">
        <f t="shared" si="25"/>
        <v>0</v>
      </c>
      <c r="AF141" s="245"/>
    </row>
    <row r="142" spans="2:32" ht="15.75" x14ac:dyDescent="0.25">
      <c r="B142" s="289" t="s">
        <v>352</v>
      </c>
      <c r="G142" s="281"/>
      <c r="H142" s="281"/>
      <c r="R142" s="286">
        <f t="shared" si="14"/>
        <v>0</v>
      </c>
      <c r="S142" s="1">
        <f t="shared" si="14"/>
        <v>0</v>
      </c>
      <c r="T142" s="243">
        <f t="shared" si="15"/>
        <v>1</v>
      </c>
      <c r="U142" s="1">
        <f t="shared" si="16"/>
        <v>0</v>
      </c>
      <c r="V142" s="1">
        <f t="shared" si="16"/>
        <v>0</v>
      </c>
      <c r="W142" s="1">
        <f t="shared" si="17"/>
        <v>0</v>
      </c>
      <c r="X142" s="1">
        <f t="shared" si="18"/>
        <v>0</v>
      </c>
      <c r="Y142" s="244">
        <f t="shared" si="19"/>
        <v>0</v>
      </c>
      <c r="Z142" s="243">
        <f t="shared" si="20"/>
        <v>0</v>
      </c>
      <c r="AA142" s="243">
        <f t="shared" si="21"/>
        <v>0</v>
      </c>
      <c r="AB142" s="243">
        <f t="shared" si="22"/>
        <v>0</v>
      </c>
      <c r="AC142" s="243">
        <f t="shared" si="23"/>
        <v>0</v>
      </c>
      <c r="AD142" s="243">
        <f t="shared" si="24"/>
        <v>0</v>
      </c>
      <c r="AE142" s="243">
        <f t="shared" si="25"/>
        <v>0</v>
      </c>
      <c r="AF142" s="245"/>
    </row>
    <row r="143" spans="2:32" x14ac:dyDescent="0.2">
      <c r="R143" s="286">
        <f t="shared" si="14"/>
        <v>0</v>
      </c>
      <c r="S143" s="1">
        <f t="shared" si="14"/>
        <v>0</v>
      </c>
      <c r="T143" s="243">
        <f t="shared" si="15"/>
        <v>1</v>
      </c>
      <c r="U143" s="1">
        <f t="shared" si="16"/>
        <v>0</v>
      </c>
      <c r="V143" s="1">
        <f t="shared" si="16"/>
        <v>0</v>
      </c>
      <c r="W143" s="1">
        <f t="shared" si="17"/>
        <v>0</v>
      </c>
      <c r="X143" s="1">
        <f t="shared" si="18"/>
        <v>0</v>
      </c>
      <c r="Y143" s="244">
        <f t="shared" si="19"/>
        <v>0</v>
      </c>
      <c r="Z143" s="243">
        <f t="shared" si="20"/>
        <v>0</v>
      </c>
      <c r="AA143" s="243">
        <f t="shared" si="21"/>
        <v>0</v>
      </c>
      <c r="AB143" s="243">
        <f t="shared" si="22"/>
        <v>0</v>
      </c>
      <c r="AC143" s="243">
        <f t="shared" si="23"/>
        <v>0</v>
      </c>
      <c r="AD143" s="243">
        <f t="shared" si="24"/>
        <v>0</v>
      </c>
      <c r="AE143" s="243">
        <f t="shared" si="25"/>
        <v>0</v>
      </c>
      <c r="AF143" s="245"/>
    </row>
    <row r="144" spans="2:32" x14ac:dyDescent="0.2">
      <c r="C144" s="17" t="s">
        <v>353</v>
      </c>
      <c r="G144" s="281"/>
      <c r="H144" s="281"/>
      <c r="R144" s="286">
        <f t="shared" si="14"/>
        <v>0</v>
      </c>
      <c r="S144" s="1">
        <f t="shared" si="14"/>
        <v>0</v>
      </c>
      <c r="T144" s="243">
        <f>IF(OR(ISBLANK(R144),ISBLANK(O145)),0,1)</f>
        <v>1</v>
      </c>
      <c r="U144" s="1">
        <f>O145-R144</f>
        <v>0</v>
      </c>
      <c r="V144" s="1">
        <f>P145-S144</f>
        <v>0</v>
      </c>
      <c r="W144" s="1">
        <f>O145+R144</f>
        <v>0</v>
      </c>
      <c r="X144" s="1">
        <f>+P145+S144</f>
        <v>0</v>
      </c>
      <c r="Y144" s="244">
        <f t="shared" si="19"/>
        <v>0</v>
      </c>
      <c r="Z144" s="243">
        <f t="shared" si="20"/>
        <v>0</v>
      </c>
      <c r="AA144" s="243">
        <f t="shared" si="21"/>
        <v>0</v>
      </c>
      <c r="AB144" s="243">
        <f t="shared" si="22"/>
        <v>0</v>
      </c>
      <c r="AC144" s="243">
        <f t="shared" si="23"/>
        <v>0</v>
      </c>
      <c r="AD144" s="243">
        <f>O145*S144-R144*P145</f>
        <v>0</v>
      </c>
      <c r="AE144" s="243">
        <f>IF(U144&lt;&gt;0,-T144/U144*(V144^2*W144/8*(R144^2+O145^2)+V144/3*AD144*(R144^2+R144*O145+O145^2)+AD144^2*(R144+O145)/4),0)</f>
        <v>0</v>
      </c>
      <c r="AF144" s="245"/>
    </row>
    <row r="145" spans="2:32" x14ac:dyDescent="0.2">
      <c r="C145" s="17"/>
      <c r="E145" s="152" t="s">
        <v>348</v>
      </c>
      <c r="O145" s="286">
        <f t="shared" ref="O145:P150" si="26">G98</f>
        <v>0</v>
      </c>
      <c r="P145" s="1">
        <f t="shared" si="26"/>
        <v>0</v>
      </c>
      <c r="Q145" s="243">
        <f>IF(OR(ISBLANK(O145),ISBLANK(O146)),0,1)</f>
        <v>1</v>
      </c>
      <c r="R145" s="1">
        <f t="shared" ref="R145:S149" si="27">O146-O145</f>
        <v>0</v>
      </c>
      <c r="S145" s="1">
        <f t="shared" si="27"/>
        <v>0</v>
      </c>
      <c r="T145" s="1">
        <f>O146+O145</f>
        <v>0</v>
      </c>
      <c r="U145" s="1">
        <f>+P146+P145</f>
        <v>0</v>
      </c>
      <c r="V145" s="244">
        <f t="shared" ref="V145:V150" si="28">Q145*S145*T145/2</f>
        <v>0</v>
      </c>
      <c r="W145" s="243">
        <f t="shared" ref="W145:W150" si="29">Q145*S145/8*(T145^2+R145^2/3)</f>
        <v>0</v>
      </c>
      <c r="X145" s="243">
        <f t="shared" ref="X145:X150" si="30">-Q145*R145/8*(U145^2+S145^2/3)</f>
        <v>0</v>
      </c>
      <c r="Y145" s="243">
        <f t="shared" ref="Y145:Y150" si="31">-Q145*R145*U145/24*(S145^2+U145^2)</f>
        <v>0</v>
      </c>
      <c r="Z145" s="243">
        <f t="shared" ref="Z145:Z150" si="32">Q145*S145*T145/24*(R145^2+T145^2)</f>
        <v>0</v>
      </c>
      <c r="AA145" s="243">
        <f>O146*P145-O145*P146</f>
        <v>0</v>
      </c>
      <c r="AB145" s="243">
        <f>IF(R145&lt;&gt;0,-Q145/R145*(S145^2*T145/8*(O145^2+O146^2)+S145/3*AA145*(O145^2+O145*O146+O146^2)+AA145^2*(O145+O146)/4),0)</f>
        <v>0</v>
      </c>
      <c r="AC145" s="245"/>
    </row>
    <row r="146" spans="2:32" x14ac:dyDescent="0.2">
      <c r="B146" t="s">
        <v>354</v>
      </c>
      <c r="D146" s="213"/>
      <c r="E146" s="301">
        <f>D133</f>
        <v>2.6999923653946567</v>
      </c>
      <c r="F146" s="174" t="s">
        <v>317</v>
      </c>
      <c r="O146" s="286">
        <f t="shared" si="26"/>
        <v>0</v>
      </c>
      <c r="P146" s="1">
        <f t="shared" si="26"/>
        <v>0</v>
      </c>
      <c r="Q146" s="243">
        <f>IF(OR(ISBLANK(O146),ISBLANK(O147)),0,1)</f>
        <v>1</v>
      </c>
      <c r="R146" s="1">
        <f t="shared" si="27"/>
        <v>0</v>
      </c>
      <c r="S146" s="1">
        <f t="shared" si="27"/>
        <v>0</v>
      </c>
      <c r="T146" s="1">
        <f>O147+O146</f>
        <v>0</v>
      </c>
      <c r="U146" s="1">
        <f>+P147+P146</f>
        <v>0</v>
      </c>
      <c r="V146" s="244">
        <f t="shared" si="28"/>
        <v>0</v>
      </c>
      <c r="W146" s="243">
        <f t="shared" si="29"/>
        <v>0</v>
      </c>
      <c r="X146" s="243">
        <f t="shared" si="30"/>
        <v>0</v>
      </c>
      <c r="Y146" s="243">
        <f t="shared" si="31"/>
        <v>0</v>
      </c>
      <c r="Z146" s="243">
        <f t="shared" si="32"/>
        <v>0</v>
      </c>
      <c r="AA146" s="243">
        <f>O147*P146-O146*P147</f>
        <v>0</v>
      </c>
      <c r="AB146" s="243">
        <f>IF(R146&lt;&gt;0,-Q146/R146*(S146^2*T146/8*(O146^2+O147^2)+S146/3*AA146*(O146^2+O146*O147+O147^2)+AA146^2*(O146+O147)/4),0)</f>
        <v>0</v>
      </c>
      <c r="AC146" s="245"/>
    </row>
    <row r="147" spans="2:32" x14ac:dyDescent="0.2">
      <c r="D147" s="213"/>
      <c r="E147" s="213"/>
      <c r="F147" s="174"/>
      <c r="O147" s="286">
        <f t="shared" si="26"/>
        <v>0</v>
      </c>
      <c r="P147" s="1">
        <f t="shared" si="26"/>
        <v>0</v>
      </c>
      <c r="Q147" s="243">
        <f>IF(OR(ISBLANK(O147),ISBLANK(O148)),0,1)</f>
        <v>1</v>
      </c>
      <c r="R147" s="1">
        <f t="shared" si="27"/>
        <v>0</v>
      </c>
      <c r="S147" s="1">
        <f t="shared" si="27"/>
        <v>0</v>
      </c>
      <c r="T147" s="1">
        <f>O148+O147</f>
        <v>0</v>
      </c>
      <c r="U147" s="1">
        <f>+P148+P147</f>
        <v>0</v>
      </c>
      <c r="V147" s="244">
        <f t="shared" si="28"/>
        <v>0</v>
      </c>
      <c r="W147" s="243">
        <f t="shared" si="29"/>
        <v>0</v>
      </c>
      <c r="X147" s="243">
        <f t="shared" si="30"/>
        <v>0</v>
      </c>
      <c r="Y147" s="243">
        <f t="shared" si="31"/>
        <v>0</v>
      </c>
      <c r="Z147" s="243">
        <f t="shared" si="32"/>
        <v>0</v>
      </c>
      <c r="AA147" s="243">
        <f>O148*P147-O147*P148</f>
        <v>0</v>
      </c>
      <c r="AB147" s="243">
        <f>IF(R147&lt;&gt;0,-Q147/R147*(S147^2*T147/8*(O147^2+O148^2)+S147/3*AA147*(O147^2+O147*O148+O148^2)+AA147^2*(O147+O148)/4),0)</f>
        <v>0</v>
      </c>
      <c r="AC147" s="245"/>
    </row>
    <row r="148" spans="2:32" x14ac:dyDescent="0.2">
      <c r="B148" s="1"/>
      <c r="C148" s="1"/>
      <c r="D148" s="302"/>
      <c r="E148" s="302"/>
      <c r="F148" s="303"/>
      <c r="O148" s="286">
        <f t="shared" si="26"/>
        <v>0</v>
      </c>
      <c r="P148" s="1">
        <f t="shared" si="26"/>
        <v>0</v>
      </c>
      <c r="Q148" s="243">
        <f>IF(OR(ISBLANK(O148),ISBLANK(O149)),0,1)</f>
        <v>1</v>
      </c>
      <c r="R148" s="1">
        <f t="shared" si="27"/>
        <v>0</v>
      </c>
      <c r="S148" s="1">
        <f t="shared" si="27"/>
        <v>0</v>
      </c>
      <c r="T148" s="1">
        <f>O149+O148</f>
        <v>0</v>
      </c>
      <c r="U148" s="1">
        <f>+P149+P148</f>
        <v>0</v>
      </c>
      <c r="V148" s="244">
        <f t="shared" si="28"/>
        <v>0</v>
      </c>
      <c r="W148" s="243">
        <f t="shared" si="29"/>
        <v>0</v>
      </c>
      <c r="X148" s="243">
        <f t="shared" si="30"/>
        <v>0</v>
      </c>
      <c r="Y148" s="243">
        <f t="shared" si="31"/>
        <v>0</v>
      </c>
      <c r="Z148" s="243">
        <f t="shared" si="32"/>
        <v>0</v>
      </c>
      <c r="AA148" s="243">
        <f>O149*P148-O148*P149</f>
        <v>0</v>
      </c>
      <c r="AB148" s="243">
        <f>IF(R148&lt;&gt;0,-Q148/R148*(S148^2*T148/8*(O148^2+O149^2)+S148/3*AA148*(O148^2+O148*O149+O149^2)+AA148^2*(O148+O149)/4),0)</f>
        <v>0</v>
      </c>
      <c r="AC148" s="245"/>
    </row>
    <row r="149" spans="2:32" x14ac:dyDescent="0.2">
      <c r="D149" s="213"/>
      <c r="E149" s="174"/>
      <c r="F149" s="174"/>
      <c r="O149" s="286">
        <f t="shared" si="26"/>
        <v>0</v>
      </c>
      <c r="P149" s="1">
        <f t="shared" si="26"/>
        <v>0</v>
      </c>
      <c r="Q149" s="243">
        <f>IF(OR(ISBLANK(O149),ISBLANK(O150)),0,1)</f>
        <v>1</v>
      </c>
      <c r="R149" s="1">
        <f t="shared" si="27"/>
        <v>0</v>
      </c>
      <c r="S149" s="1">
        <f t="shared" si="27"/>
        <v>0</v>
      </c>
      <c r="T149" s="1">
        <f>O150+O149</f>
        <v>0</v>
      </c>
      <c r="U149" s="1">
        <f>+P150+P149</f>
        <v>0</v>
      </c>
      <c r="V149" s="244">
        <f t="shared" si="28"/>
        <v>0</v>
      </c>
      <c r="W149" s="243">
        <f t="shared" si="29"/>
        <v>0</v>
      </c>
      <c r="X149" s="243">
        <f t="shared" si="30"/>
        <v>0</v>
      </c>
      <c r="Y149" s="243">
        <f t="shared" si="31"/>
        <v>0</v>
      </c>
      <c r="Z149" s="243">
        <f t="shared" si="32"/>
        <v>0</v>
      </c>
      <c r="AA149" s="243">
        <f>O150*P149-O149*P150</f>
        <v>0</v>
      </c>
      <c r="AB149" s="243">
        <f>IF(R149&lt;&gt;0,-Q149/R149*(S149^2*T149/8*(O149^2+O150^2)+S149/3*AA149*(O149^2+O149*O150+O150^2)+AA149^2*(O149+O150)/4),0)</f>
        <v>0</v>
      </c>
      <c r="AC149" s="245"/>
    </row>
    <row r="150" spans="2:32" x14ac:dyDescent="0.2">
      <c r="B150" t="s">
        <v>355</v>
      </c>
      <c r="D150" s="213" t="s">
        <v>356</v>
      </c>
      <c r="E150" s="301">
        <f>E146*F54/3</f>
        <v>2.6999923653946567</v>
      </c>
      <c r="F150" s="174" t="s">
        <v>319</v>
      </c>
      <c r="O150" s="286">
        <f t="shared" si="26"/>
        <v>0</v>
      </c>
      <c r="P150" s="1">
        <f t="shared" si="26"/>
        <v>0</v>
      </c>
      <c r="Q150" s="243">
        <f>IF(OR(ISBLANK(O150),ISBLANK(R151)),0,1)</f>
        <v>1</v>
      </c>
      <c r="R150" s="1">
        <f>R151-O150</f>
        <v>0</v>
      </c>
      <c r="S150" s="1">
        <f>S151-P150</f>
        <v>0</v>
      </c>
      <c r="T150" s="1">
        <f>R151+O150</f>
        <v>0</v>
      </c>
      <c r="U150" s="1">
        <f>+S151+P150</f>
        <v>0</v>
      </c>
      <c r="V150" s="244">
        <f t="shared" si="28"/>
        <v>0</v>
      </c>
      <c r="W150" s="243">
        <f t="shared" si="29"/>
        <v>0</v>
      </c>
      <c r="X150" s="243">
        <f t="shared" si="30"/>
        <v>0</v>
      </c>
      <c r="Y150" s="243">
        <f t="shared" si="31"/>
        <v>0</v>
      </c>
      <c r="Z150" s="243">
        <f t="shared" si="32"/>
        <v>0</v>
      </c>
      <c r="AA150" s="243">
        <f>R151*P150-O150*S151</f>
        <v>0</v>
      </c>
      <c r="AB150" s="243">
        <f>IF(R150&lt;&gt;0,-Q150/R150*(S150^2*T150/8*(O150^2+R151^2)+S150/3*AA150*(O150^2+O150*R151+R151^2)+AA150^2*(O150+R151)/4),0)</f>
        <v>0</v>
      </c>
      <c r="AC150" s="245"/>
    </row>
    <row r="151" spans="2:32" x14ac:dyDescent="0.2">
      <c r="D151" s="174"/>
      <c r="E151" s="174"/>
      <c r="F151" s="174"/>
      <c r="G151" s="213"/>
      <c r="H151" s="213"/>
      <c r="I151" s="174"/>
      <c r="R151" s="286">
        <f t="shared" si="14"/>
        <v>0</v>
      </c>
      <c r="S151" s="1">
        <f t="shared" si="14"/>
        <v>0</v>
      </c>
      <c r="T151" s="243">
        <f t="shared" ref="T151:T158" si="33">IF(OR(ISBLANK(R151),ISBLANK(R152)),0,1)</f>
        <v>1</v>
      </c>
      <c r="U151" s="1">
        <f t="shared" ref="U151:V158" si="34">R152-R151</f>
        <v>0</v>
      </c>
      <c r="V151" s="1">
        <f t="shared" si="34"/>
        <v>0</v>
      </c>
      <c r="W151" s="1">
        <f t="shared" ref="W151:W158" si="35">R152+R151</f>
        <v>0</v>
      </c>
      <c r="X151" s="1">
        <f t="shared" ref="X151:X158" si="36">+S152+S151</f>
        <v>0</v>
      </c>
      <c r="Y151" s="244">
        <f t="shared" ref="Y151:Y159" si="37">T151*V151*W151/2</f>
        <v>0</v>
      </c>
      <c r="Z151" s="243">
        <f t="shared" ref="Z151:Z159" si="38">T151*V151/8*(W151^2+U151^2/3)</f>
        <v>0</v>
      </c>
      <c r="AA151" s="243">
        <f t="shared" ref="AA151:AA159" si="39">-T151*U151/8*(X151^2+V151^2/3)</f>
        <v>0</v>
      </c>
      <c r="AB151" s="243">
        <f t="shared" ref="AB151:AB159" si="40">-T151*U151*X151/24*(V151^2+X151^2)</f>
        <v>0</v>
      </c>
      <c r="AC151" s="243">
        <f t="shared" ref="AC151:AC159" si="41">T151*V151*W151/24*(U151^2+W151^2)</f>
        <v>0</v>
      </c>
      <c r="AD151" s="243">
        <f t="shared" ref="AD151:AD158" si="42">R152*S151-R151*S152</f>
        <v>0</v>
      </c>
      <c r="AE151" s="243">
        <f t="shared" ref="AE151:AE158" si="43">IF(U151&lt;&gt;0,-T151/U151*(V151^2*W151/8*(R151^2+R152^2)+V151/3*AD151*(R151^2+R151*R152+R152^2)+AD151^2*(R151+R152)/4),0)</f>
        <v>0</v>
      </c>
      <c r="AF151" s="245"/>
    </row>
    <row r="152" spans="2:32" ht="13.5" thickBot="1" x14ac:dyDescent="0.25">
      <c r="C152" s="17" t="s">
        <v>357</v>
      </c>
      <c r="D152" s="174"/>
      <c r="E152" s="174"/>
      <c r="F152" s="174"/>
      <c r="G152" s="213"/>
      <c r="H152" s="213"/>
      <c r="I152" s="174"/>
      <c r="R152" s="286">
        <f t="shared" si="14"/>
        <v>0</v>
      </c>
      <c r="S152" s="1">
        <f t="shared" si="14"/>
        <v>0</v>
      </c>
      <c r="T152" s="243">
        <f t="shared" si="33"/>
        <v>1</v>
      </c>
      <c r="U152" s="1">
        <f t="shared" si="34"/>
        <v>0</v>
      </c>
      <c r="V152" s="1">
        <f t="shared" si="34"/>
        <v>0</v>
      </c>
      <c r="W152" s="1">
        <f t="shared" si="35"/>
        <v>0</v>
      </c>
      <c r="X152" s="1">
        <f t="shared" si="36"/>
        <v>0</v>
      </c>
      <c r="Y152" s="244">
        <f t="shared" si="37"/>
        <v>0</v>
      </c>
      <c r="Z152" s="243">
        <f t="shared" si="38"/>
        <v>0</v>
      </c>
      <c r="AA152" s="243">
        <f t="shared" si="39"/>
        <v>0</v>
      </c>
      <c r="AB152" s="243">
        <f t="shared" si="40"/>
        <v>0</v>
      </c>
      <c r="AC152" s="243">
        <f t="shared" si="41"/>
        <v>0</v>
      </c>
      <c r="AD152" s="243">
        <f t="shared" si="42"/>
        <v>0</v>
      </c>
      <c r="AE152" s="243">
        <f t="shared" si="43"/>
        <v>0</v>
      </c>
      <c r="AF152" s="245"/>
    </row>
    <row r="153" spans="2:32" ht="13.5" thickTop="1" x14ac:dyDescent="0.2">
      <c r="D153" s="304"/>
      <c r="E153" s="305" t="s">
        <v>358</v>
      </c>
      <c r="F153" s="305" t="s">
        <v>359</v>
      </c>
      <c r="G153" s="305" t="s">
        <v>360</v>
      </c>
      <c r="H153" s="306" t="s">
        <v>361</v>
      </c>
      <c r="I153" s="307"/>
      <c r="R153" s="286">
        <f t="shared" si="14"/>
        <v>0</v>
      </c>
      <c r="S153" s="1">
        <f t="shared" si="14"/>
        <v>0</v>
      </c>
      <c r="T153" s="243">
        <f t="shared" si="33"/>
        <v>1</v>
      </c>
      <c r="U153" s="1">
        <f t="shared" si="34"/>
        <v>0</v>
      </c>
      <c r="V153" s="1">
        <f t="shared" si="34"/>
        <v>0</v>
      </c>
      <c r="W153" s="1">
        <f t="shared" si="35"/>
        <v>0</v>
      </c>
      <c r="X153" s="1">
        <f t="shared" si="36"/>
        <v>0</v>
      </c>
      <c r="Y153" s="244">
        <f t="shared" si="37"/>
        <v>0</v>
      </c>
      <c r="Z153" s="243">
        <f t="shared" si="38"/>
        <v>0</v>
      </c>
      <c r="AA153" s="243">
        <f t="shared" si="39"/>
        <v>0</v>
      </c>
      <c r="AB153" s="243">
        <f t="shared" si="40"/>
        <v>0</v>
      </c>
      <c r="AC153" s="243">
        <f t="shared" si="41"/>
        <v>0</v>
      </c>
      <c r="AD153" s="243">
        <f t="shared" si="42"/>
        <v>0</v>
      </c>
      <c r="AE153" s="243">
        <f t="shared" si="43"/>
        <v>0</v>
      </c>
      <c r="AF153" s="245"/>
    </row>
    <row r="154" spans="2:32" x14ac:dyDescent="0.2">
      <c r="D154" s="308" t="s">
        <v>362</v>
      </c>
      <c r="E154" s="309"/>
      <c r="F154" s="310">
        <f>E84</f>
        <v>8.9124999999999996</v>
      </c>
      <c r="G154" s="311">
        <f>E82</f>
        <v>0.79139784946236558</v>
      </c>
      <c r="H154" s="312">
        <f>F154*G154</f>
        <v>7.0533333333333328</v>
      </c>
      <c r="I154" s="307"/>
      <c r="R154" s="286">
        <f t="shared" si="14"/>
        <v>0</v>
      </c>
      <c r="S154" s="1">
        <f t="shared" si="14"/>
        <v>0</v>
      </c>
      <c r="T154" s="243">
        <f t="shared" si="33"/>
        <v>1</v>
      </c>
      <c r="U154" s="1">
        <f t="shared" si="34"/>
        <v>0</v>
      </c>
      <c r="V154" s="1">
        <f t="shared" si="34"/>
        <v>0</v>
      </c>
      <c r="W154" s="1">
        <f t="shared" si="35"/>
        <v>0</v>
      </c>
      <c r="X154" s="1">
        <f t="shared" si="36"/>
        <v>0</v>
      </c>
      <c r="Y154" s="244">
        <f t="shared" si="37"/>
        <v>0</v>
      </c>
      <c r="Z154" s="243">
        <f t="shared" si="38"/>
        <v>0</v>
      </c>
      <c r="AA154" s="243">
        <f t="shared" si="39"/>
        <v>0</v>
      </c>
      <c r="AB154" s="243">
        <f t="shared" si="40"/>
        <v>0</v>
      </c>
      <c r="AC154" s="243">
        <f t="shared" si="41"/>
        <v>0</v>
      </c>
      <c r="AD154" s="243">
        <f t="shared" si="42"/>
        <v>0</v>
      </c>
      <c r="AE154" s="243">
        <f t="shared" si="43"/>
        <v>0</v>
      </c>
      <c r="AF154" s="245"/>
    </row>
    <row r="155" spans="2:32" x14ac:dyDescent="0.2">
      <c r="D155" s="308" t="s">
        <v>363</v>
      </c>
      <c r="E155" s="309"/>
      <c r="F155" s="310">
        <f>E90</f>
        <v>2.5649999999999999</v>
      </c>
      <c r="G155" s="311">
        <f>E88</f>
        <v>1.8602339181286549</v>
      </c>
      <c r="H155" s="312">
        <f>F155*G155</f>
        <v>4.7714999999999996</v>
      </c>
      <c r="I155" s="313"/>
      <c r="R155" s="286">
        <f t="shared" si="14"/>
        <v>0</v>
      </c>
      <c r="S155" s="1">
        <f t="shared" si="14"/>
        <v>0</v>
      </c>
      <c r="T155" s="243">
        <f t="shared" si="33"/>
        <v>1</v>
      </c>
      <c r="U155" s="1">
        <f t="shared" si="34"/>
        <v>0</v>
      </c>
      <c r="V155" s="1">
        <f t="shared" si="34"/>
        <v>0</v>
      </c>
      <c r="W155" s="1">
        <f t="shared" si="35"/>
        <v>0</v>
      </c>
      <c r="X155" s="1">
        <f t="shared" si="36"/>
        <v>0</v>
      </c>
      <c r="Y155" s="244">
        <f t="shared" si="37"/>
        <v>0</v>
      </c>
      <c r="Z155" s="243">
        <f t="shared" si="38"/>
        <v>0</v>
      </c>
      <c r="AA155" s="243">
        <f t="shared" si="39"/>
        <v>0</v>
      </c>
      <c r="AB155" s="243">
        <f t="shared" si="40"/>
        <v>0</v>
      </c>
      <c r="AC155" s="243">
        <f t="shared" si="41"/>
        <v>0</v>
      </c>
      <c r="AD155" s="243">
        <f t="shared" si="42"/>
        <v>0</v>
      </c>
      <c r="AE155" s="243">
        <f t="shared" si="43"/>
        <v>0</v>
      </c>
      <c r="AF155" s="245"/>
    </row>
    <row r="156" spans="2:32" x14ac:dyDescent="0.2">
      <c r="D156" s="308"/>
      <c r="E156" s="309"/>
      <c r="F156" s="314"/>
      <c r="G156" s="311"/>
      <c r="H156" s="315"/>
      <c r="I156" s="174"/>
      <c r="R156" s="286">
        <f t="shared" si="14"/>
        <v>0</v>
      </c>
      <c r="S156" s="1">
        <f t="shared" si="14"/>
        <v>0</v>
      </c>
      <c r="T156" s="243">
        <f t="shared" si="33"/>
        <v>1</v>
      </c>
      <c r="U156" s="1">
        <f t="shared" si="34"/>
        <v>0</v>
      </c>
      <c r="V156" s="1">
        <f t="shared" si="34"/>
        <v>0</v>
      </c>
      <c r="W156" s="1">
        <f t="shared" si="35"/>
        <v>0</v>
      </c>
      <c r="X156" s="1">
        <f t="shared" si="36"/>
        <v>0</v>
      </c>
      <c r="Y156" s="244">
        <f t="shared" si="37"/>
        <v>0</v>
      </c>
      <c r="Z156" s="243">
        <f t="shared" si="38"/>
        <v>0</v>
      </c>
      <c r="AA156" s="243">
        <f t="shared" si="39"/>
        <v>0</v>
      </c>
      <c r="AB156" s="243">
        <f t="shared" si="40"/>
        <v>0</v>
      </c>
      <c r="AC156" s="243">
        <f t="shared" si="41"/>
        <v>0</v>
      </c>
      <c r="AD156" s="243">
        <f t="shared" si="42"/>
        <v>0</v>
      </c>
      <c r="AE156" s="243">
        <f t="shared" si="43"/>
        <v>0</v>
      </c>
      <c r="AF156" s="245"/>
    </row>
    <row r="157" spans="2:32" ht="13.5" thickBot="1" x14ac:dyDescent="0.25">
      <c r="D157" s="316"/>
      <c r="E157" s="317" t="s">
        <v>364</v>
      </c>
      <c r="F157" s="318">
        <f>SUM(F154:F156)</f>
        <v>11.477499999999999</v>
      </c>
      <c r="G157" s="317"/>
      <c r="H157" s="319">
        <f>SUM(H154:H156)</f>
        <v>11.824833333333332</v>
      </c>
      <c r="I157" s="213"/>
      <c r="R157" s="286">
        <f t="shared" si="14"/>
        <v>0</v>
      </c>
      <c r="S157" s="1">
        <f t="shared" si="14"/>
        <v>0</v>
      </c>
      <c r="T157" s="243">
        <f t="shared" si="33"/>
        <v>1</v>
      </c>
      <c r="U157" s="1">
        <f t="shared" si="34"/>
        <v>0</v>
      </c>
      <c r="V157" s="1">
        <f t="shared" si="34"/>
        <v>0</v>
      </c>
      <c r="W157" s="1">
        <f t="shared" si="35"/>
        <v>0</v>
      </c>
      <c r="X157" s="1">
        <f t="shared" si="36"/>
        <v>0</v>
      </c>
      <c r="Y157" s="244">
        <f t="shared" si="37"/>
        <v>0</v>
      </c>
      <c r="Z157" s="243">
        <f t="shared" si="38"/>
        <v>0</v>
      </c>
      <c r="AA157" s="243">
        <f t="shared" si="39"/>
        <v>0</v>
      </c>
      <c r="AB157" s="243">
        <f t="shared" si="40"/>
        <v>0</v>
      </c>
      <c r="AC157" s="243">
        <f t="shared" si="41"/>
        <v>0</v>
      </c>
      <c r="AD157" s="243">
        <f t="shared" si="42"/>
        <v>0</v>
      </c>
      <c r="AE157" s="243">
        <f t="shared" si="43"/>
        <v>0</v>
      </c>
      <c r="AF157" s="245"/>
    </row>
    <row r="158" spans="2:32" ht="13.5" thickTop="1" x14ac:dyDescent="0.2">
      <c r="I158" s="320"/>
      <c r="R158" s="286">
        <f t="shared" si="14"/>
        <v>0</v>
      </c>
      <c r="S158" s="1">
        <f t="shared" si="14"/>
        <v>0</v>
      </c>
      <c r="T158" s="243">
        <f t="shared" si="33"/>
        <v>1</v>
      </c>
      <c r="U158" s="1">
        <f t="shared" si="34"/>
        <v>0</v>
      </c>
      <c r="V158" s="1">
        <f t="shared" si="34"/>
        <v>0</v>
      </c>
      <c r="W158" s="1">
        <f t="shared" si="35"/>
        <v>0</v>
      </c>
      <c r="X158" s="1">
        <f t="shared" si="36"/>
        <v>0</v>
      </c>
      <c r="Y158" s="244">
        <f t="shared" si="37"/>
        <v>0</v>
      </c>
      <c r="Z158" s="243">
        <f t="shared" si="38"/>
        <v>0</v>
      </c>
      <c r="AA158" s="243">
        <f t="shared" si="39"/>
        <v>0</v>
      </c>
      <c r="AB158" s="243">
        <f t="shared" si="40"/>
        <v>0</v>
      </c>
      <c r="AC158" s="243">
        <f t="shared" si="41"/>
        <v>0</v>
      </c>
      <c r="AD158" s="243">
        <f t="shared" si="42"/>
        <v>0</v>
      </c>
      <c r="AE158" s="243">
        <f t="shared" si="43"/>
        <v>0</v>
      </c>
      <c r="AF158" s="245"/>
    </row>
    <row r="159" spans="2:32" x14ac:dyDescent="0.2">
      <c r="G159" s="281"/>
      <c r="H159" s="281"/>
      <c r="I159" s="297"/>
      <c r="R159" s="286">
        <f t="shared" si="14"/>
        <v>0</v>
      </c>
      <c r="S159" s="1">
        <f t="shared" si="14"/>
        <v>0</v>
      </c>
      <c r="T159" s="243">
        <f>IF(OR(ISBLANK(R159),ISBLANK(R218)),0,1)</f>
        <v>0</v>
      </c>
      <c r="U159" s="1">
        <f>R218-R159</f>
        <v>0</v>
      </c>
      <c r="V159" s="1">
        <f>S218-S159</f>
        <v>0</v>
      </c>
      <c r="W159" s="1">
        <f>R218+R159</f>
        <v>0</v>
      </c>
      <c r="X159" s="1">
        <f>+S218+S159</f>
        <v>0</v>
      </c>
      <c r="Y159" s="244">
        <f t="shared" si="37"/>
        <v>0</v>
      </c>
      <c r="Z159" s="243">
        <f t="shared" si="38"/>
        <v>0</v>
      </c>
      <c r="AA159" s="243">
        <f t="shared" si="39"/>
        <v>0</v>
      </c>
      <c r="AB159" s="243">
        <f t="shared" si="40"/>
        <v>0</v>
      </c>
      <c r="AC159" s="243">
        <f t="shared" si="41"/>
        <v>0</v>
      </c>
      <c r="AD159" s="243">
        <f>R218*S159-R159*S218</f>
        <v>0</v>
      </c>
      <c r="AE159" s="243">
        <f>IF(U159&lt;&gt;0,-T159/U159*(V159^2*W159/8*(R159^2+R218^2)+V159/3*AD159*(R159^2+R159*R218+R218^2)+AD159^2*(R159+R218)/4),0)</f>
        <v>0</v>
      </c>
      <c r="AF159" s="245"/>
    </row>
    <row r="160" spans="2:32" ht="15.75" x14ac:dyDescent="0.25">
      <c r="B160" s="289" t="s">
        <v>365</v>
      </c>
      <c r="G160" s="281"/>
      <c r="H160" s="281"/>
      <c r="R160" s="286"/>
      <c r="S160" s="1"/>
      <c r="T160" s="243"/>
      <c r="U160" s="1"/>
      <c r="V160" s="1"/>
      <c r="W160" s="1"/>
      <c r="X160" s="1"/>
      <c r="Y160" s="244"/>
      <c r="Z160" s="243"/>
      <c r="AA160" s="243"/>
      <c r="AB160" s="243"/>
      <c r="AC160" s="243"/>
      <c r="AD160" s="243"/>
      <c r="AE160" s="243"/>
      <c r="AF160" s="245"/>
    </row>
    <row r="161" spans="2:32" ht="15.75" x14ac:dyDescent="0.25">
      <c r="B161" s="289"/>
      <c r="C161" s="179"/>
      <c r="D161" s="179"/>
      <c r="E161" s="179"/>
      <c r="G161" s="281"/>
      <c r="H161" s="281"/>
      <c r="I161" s="321"/>
      <c r="R161" s="286"/>
      <c r="S161" s="1"/>
      <c r="T161" s="243"/>
      <c r="U161" s="1"/>
      <c r="V161" s="1"/>
      <c r="W161" s="1"/>
      <c r="X161" s="1"/>
      <c r="Y161" s="244"/>
      <c r="Z161" s="243"/>
      <c r="AA161" s="243"/>
      <c r="AB161" s="243"/>
      <c r="AC161" s="243"/>
      <c r="AD161" s="243"/>
      <c r="AE161" s="243"/>
      <c r="AF161" s="245"/>
    </row>
    <row r="162" spans="2:32" ht="15.75" x14ac:dyDescent="0.25">
      <c r="B162" s="289"/>
      <c r="E162" t="s">
        <v>366</v>
      </c>
      <c r="G162" s="281"/>
      <c r="H162" s="281"/>
      <c r="I162" s="321">
        <f>$F$72/$F$65</f>
        <v>0</v>
      </c>
      <c r="R162" s="286"/>
      <c r="S162" s="1"/>
      <c r="T162" s="243"/>
      <c r="U162" s="1"/>
      <c r="V162" s="1"/>
      <c r="W162" s="1"/>
      <c r="X162" s="1"/>
      <c r="Y162" s="179">
        <f t="shared" ref="Y162:AE162" si="44">SUM(Y128:Y159)</f>
        <v>1.425</v>
      </c>
      <c r="Z162" s="179">
        <f t="shared" si="44"/>
        <v>2.6508333333333334</v>
      </c>
      <c r="AA162" s="179">
        <f t="shared" si="44"/>
        <v>3.9541666666666671</v>
      </c>
      <c r="AB162" s="179">
        <f t="shared" si="44"/>
        <v>8.7510416666666693</v>
      </c>
      <c r="AC162" s="179">
        <f t="shared" si="44"/>
        <v>4.4809583333333336</v>
      </c>
      <c r="AD162" s="179">
        <f t="shared" si="44"/>
        <v>-3.8499999999999996</v>
      </c>
      <c r="AE162" s="179">
        <f t="shared" si="44"/>
        <v>5.9763541666666669</v>
      </c>
      <c r="AF162" s="245"/>
    </row>
    <row r="163" spans="2:32" ht="13.5" thickBot="1" x14ac:dyDescent="0.25">
      <c r="C163" s="212"/>
      <c r="D163" s="174"/>
      <c r="E163" s="212" t="s">
        <v>367</v>
      </c>
      <c r="F163" s="174"/>
      <c r="G163" s="213"/>
      <c r="H163" s="213"/>
      <c r="I163" s="174"/>
      <c r="R163" s="286"/>
      <c r="S163" s="1"/>
      <c r="T163" s="243"/>
      <c r="U163" s="1"/>
      <c r="V163" s="1"/>
      <c r="W163" s="1"/>
      <c r="X163" s="1"/>
      <c r="Y163" s="179"/>
      <c r="Z163" s="179">
        <f>Z162/Y162</f>
        <v>1.8602339181286549</v>
      </c>
      <c r="AA163" s="179">
        <f>AA162/Y162</f>
        <v>2.7748538011695909</v>
      </c>
      <c r="AB163" s="179">
        <f>AB162-Y162*AA163^2</f>
        <v>-2.221192738791423</v>
      </c>
      <c r="AC163" s="179">
        <f>AC162-Y162*AA163^2</f>
        <v>-6.4912760721247587</v>
      </c>
      <c r="AD163" s="179"/>
      <c r="AE163" s="179"/>
      <c r="AF163" s="245"/>
    </row>
    <row r="164" spans="2:32" ht="13.5" thickTop="1" x14ac:dyDescent="0.2">
      <c r="C164" s="174"/>
      <c r="D164" s="304"/>
      <c r="E164" s="305" t="s">
        <v>358</v>
      </c>
      <c r="F164" s="305" t="s">
        <v>368</v>
      </c>
      <c r="G164" s="305" t="s">
        <v>369</v>
      </c>
      <c r="H164" s="306" t="s">
        <v>370</v>
      </c>
      <c r="I164" s="174"/>
      <c r="R164" s="286"/>
      <c r="S164" s="1"/>
      <c r="T164" s="243"/>
      <c r="U164" s="1"/>
      <c r="V164" s="1"/>
      <c r="W164" s="1"/>
      <c r="X164" s="1"/>
      <c r="Y164" s="179"/>
      <c r="Z164" s="179"/>
      <c r="AA164" s="179"/>
      <c r="AB164" s="179"/>
      <c r="AC164" s="179"/>
      <c r="AD164" s="179"/>
      <c r="AE164" s="179"/>
      <c r="AF164" s="245"/>
    </row>
    <row r="165" spans="2:32" x14ac:dyDescent="0.2">
      <c r="C165" s="174"/>
      <c r="D165" s="322" t="s">
        <v>354</v>
      </c>
      <c r="E165" s="323"/>
      <c r="F165" s="324">
        <f>$D$133</f>
        <v>2.6999923653946567</v>
      </c>
      <c r="G165" s="325">
        <f>F54/3</f>
        <v>1</v>
      </c>
      <c r="H165" s="326">
        <f>F165*G165</f>
        <v>2.6999923653946567</v>
      </c>
      <c r="I165" s="174"/>
      <c r="R165" s="286"/>
      <c r="S165" s="1"/>
      <c r="T165" s="243"/>
      <c r="U165" s="1"/>
      <c r="V165" s="1"/>
      <c r="W165" s="1"/>
      <c r="X165" s="1"/>
      <c r="Y165" s="179"/>
      <c r="Z165" s="179"/>
      <c r="AA165" s="179"/>
      <c r="AB165" s="179"/>
      <c r="AC165" s="179"/>
      <c r="AD165" s="179"/>
      <c r="AE165" s="179"/>
      <c r="AF165" s="245"/>
    </row>
    <row r="166" spans="2:32" x14ac:dyDescent="0.2">
      <c r="C166" s="174"/>
      <c r="D166" s="327" t="s">
        <v>371</v>
      </c>
      <c r="E166" s="328"/>
      <c r="F166" s="329">
        <v>0</v>
      </c>
      <c r="G166" s="330">
        <f>F54/2</f>
        <v>1.5</v>
      </c>
      <c r="H166" s="331">
        <f>F166*G166</f>
        <v>0</v>
      </c>
      <c r="I166" s="332"/>
      <c r="R166" s="286"/>
      <c r="S166" s="1"/>
      <c r="T166" s="243"/>
      <c r="U166" s="1"/>
      <c r="V166" s="1"/>
      <c r="W166" s="1"/>
      <c r="X166" s="1"/>
      <c r="Y166" s="212" t="s">
        <v>174</v>
      </c>
      <c r="Z166" s="212" t="s">
        <v>297</v>
      </c>
      <c r="AA166" s="212" t="s">
        <v>298</v>
      </c>
      <c r="AB166" s="212" t="s">
        <v>307</v>
      </c>
      <c r="AC166" s="212" t="s">
        <v>339</v>
      </c>
      <c r="AD166" s="179"/>
      <c r="AE166" s="179"/>
      <c r="AF166" s="245"/>
    </row>
    <row r="167" spans="2:32" x14ac:dyDescent="0.2">
      <c r="C167" s="174"/>
      <c r="D167" s="333"/>
      <c r="E167" s="328"/>
      <c r="F167" s="334"/>
      <c r="G167" s="328"/>
      <c r="H167" s="331"/>
      <c r="I167" s="332"/>
      <c r="R167" s="286"/>
      <c r="S167" s="1"/>
      <c r="T167" s="243"/>
      <c r="U167" s="1"/>
      <c r="V167" s="1"/>
      <c r="W167" s="1"/>
      <c r="X167" s="1"/>
      <c r="Y167" s="244"/>
      <c r="Z167" s="243"/>
      <c r="AA167" s="243"/>
      <c r="AB167" s="243"/>
      <c r="AC167" s="243"/>
      <c r="AD167" s="243"/>
      <c r="AE167" s="243"/>
      <c r="AF167" s="245"/>
    </row>
    <row r="168" spans="2:32" x14ac:dyDescent="0.2">
      <c r="C168" s="174"/>
      <c r="D168" s="335"/>
      <c r="E168" s="336"/>
      <c r="F168" s="337"/>
      <c r="G168" s="336"/>
      <c r="H168" s="338"/>
      <c r="I168" s="332"/>
      <c r="R168" s="286"/>
      <c r="S168" s="1"/>
      <c r="T168" s="243"/>
      <c r="U168" s="1"/>
      <c r="V168" s="1"/>
      <c r="W168" s="1"/>
      <c r="X168" s="1"/>
      <c r="Y168" s="244"/>
      <c r="Z168" s="243"/>
      <c r="AA168" s="243"/>
      <c r="AB168" s="243"/>
      <c r="AC168" s="243"/>
      <c r="AD168" s="243"/>
      <c r="AE168" s="243"/>
      <c r="AF168" s="245"/>
    </row>
    <row r="169" spans="2:32" ht="13.5" thickBot="1" x14ac:dyDescent="0.25">
      <c r="C169" s="174"/>
      <c r="D169" s="316"/>
      <c r="E169" s="317" t="s">
        <v>364</v>
      </c>
      <c r="F169" s="318">
        <f>SUM(F165:F168)</f>
        <v>2.6999923653946567</v>
      </c>
      <c r="G169" s="317"/>
      <c r="H169" s="319">
        <f>SUM(H165:H168)</f>
        <v>2.6999923653946567</v>
      </c>
      <c r="I169" s="174"/>
      <c r="R169" s="286"/>
      <c r="S169" s="1"/>
      <c r="T169" s="243"/>
      <c r="U169" s="1"/>
      <c r="V169" s="1"/>
      <c r="W169" s="1"/>
      <c r="X169" s="1"/>
      <c r="Y169" s="244"/>
      <c r="Z169" s="243"/>
      <c r="AA169" s="243"/>
      <c r="AB169" s="243"/>
      <c r="AC169" s="243"/>
      <c r="AD169" s="243"/>
      <c r="AE169" s="243"/>
      <c r="AF169" s="245"/>
    </row>
    <row r="170" spans="2:32" ht="13.5" thickTop="1" x14ac:dyDescent="0.2">
      <c r="C170" s="174"/>
      <c r="D170" s="303"/>
      <c r="E170" s="339"/>
      <c r="F170" s="340"/>
      <c r="G170" s="339"/>
      <c r="H170" s="340"/>
      <c r="I170" s="174"/>
      <c r="R170" s="286"/>
      <c r="S170" s="1"/>
      <c r="T170" s="243"/>
      <c r="U170" s="1"/>
      <c r="V170" s="1"/>
      <c r="W170" s="1"/>
      <c r="X170" s="1"/>
      <c r="Y170" s="244"/>
      <c r="Z170" s="243"/>
      <c r="AA170" s="243"/>
      <c r="AB170" s="243"/>
      <c r="AC170" s="243"/>
      <c r="AD170" s="243"/>
      <c r="AE170" s="243"/>
      <c r="AF170" s="245"/>
    </row>
    <row r="171" spans="2:32" ht="13.5" thickBot="1" x14ac:dyDescent="0.25">
      <c r="C171" s="212"/>
      <c r="D171" s="174"/>
      <c r="E171" s="212" t="s">
        <v>372</v>
      </c>
      <c r="F171" s="174"/>
      <c r="G171" s="213"/>
      <c r="H171" s="213"/>
      <c r="I171" s="174"/>
      <c r="R171" s="286"/>
      <c r="S171" s="1"/>
      <c r="T171" s="243"/>
      <c r="U171" s="1"/>
      <c r="V171" s="1"/>
      <c r="W171" s="1"/>
      <c r="X171" s="1"/>
      <c r="Y171" s="244"/>
      <c r="Z171" s="243"/>
      <c r="AA171" s="243"/>
      <c r="AB171" s="243"/>
      <c r="AC171" s="243"/>
      <c r="AD171" s="243"/>
      <c r="AE171" s="243"/>
      <c r="AF171" s="245"/>
    </row>
    <row r="172" spans="2:32" ht="13.5" thickTop="1" x14ac:dyDescent="0.2">
      <c r="C172" s="174"/>
      <c r="D172" s="304"/>
      <c r="E172" s="305" t="s">
        <v>358</v>
      </c>
      <c r="F172" s="305" t="s">
        <v>373</v>
      </c>
      <c r="G172" s="305" t="s">
        <v>369</v>
      </c>
      <c r="H172" s="306" t="s">
        <v>370</v>
      </c>
      <c r="I172" s="307"/>
      <c r="R172" s="286"/>
      <c r="S172" s="1"/>
      <c r="T172" s="243"/>
      <c r="U172" s="1"/>
      <c r="V172" s="1"/>
      <c r="W172" s="1"/>
      <c r="X172" s="1"/>
      <c r="Y172" s="244"/>
      <c r="Z172" s="243"/>
      <c r="AA172" s="243"/>
      <c r="AB172" s="243"/>
      <c r="AC172" s="243"/>
      <c r="AD172" s="243"/>
      <c r="AE172" s="243"/>
      <c r="AF172" s="245"/>
    </row>
    <row r="173" spans="2:32" x14ac:dyDescent="0.2">
      <c r="C173" s="174"/>
      <c r="D173" s="327" t="s">
        <v>362</v>
      </c>
      <c r="E173" s="328"/>
      <c r="F173" s="334">
        <f>E84</f>
        <v>8.9124999999999996</v>
      </c>
      <c r="G173" s="334">
        <f>E82</f>
        <v>0.79139784946236558</v>
      </c>
      <c r="H173" s="331">
        <f>F173*G173</f>
        <v>7.0533333333333328</v>
      </c>
      <c r="I173" s="307"/>
      <c r="R173" s="286"/>
      <c r="S173" s="1"/>
      <c r="T173" s="243"/>
      <c r="U173" s="1"/>
      <c r="V173" s="1"/>
      <c r="W173" s="1"/>
      <c r="X173" s="1"/>
      <c r="Y173" s="244"/>
      <c r="Z173" s="243"/>
      <c r="AA173" s="243"/>
      <c r="AB173" s="243"/>
      <c r="AC173" s="243"/>
      <c r="AD173" s="243"/>
      <c r="AE173" s="243"/>
      <c r="AF173" s="245"/>
    </row>
    <row r="174" spans="2:32" x14ac:dyDescent="0.2">
      <c r="C174" s="174"/>
      <c r="D174" s="327" t="s">
        <v>363</v>
      </c>
      <c r="E174" s="328"/>
      <c r="F174" s="334">
        <f>E90</f>
        <v>2.5649999999999999</v>
      </c>
      <c r="G174" s="334">
        <f>E88</f>
        <v>1.8602339181286549</v>
      </c>
      <c r="H174" s="331">
        <f>F174*G174</f>
        <v>4.7714999999999996</v>
      </c>
      <c r="I174" s="307"/>
      <c r="R174" s="286"/>
      <c r="S174" s="1"/>
      <c r="T174" s="243"/>
      <c r="U174" s="1"/>
      <c r="V174" s="1"/>
      <c r="W174" s="1"/>
      <c r="X174" s="1"/>
      <c r="Y174" s="244"/>
      <c r="Z174" s="243"/>
      <c r="AA174" s="243"/>
      <c r="AB174" s="243"/>
      <c r="AC174" s="243"/>
      <c r="AD174" s="243"/>
      <c r="AE174" s="243"/>
      <c r="AF174" s="245"/>
    </row>
    <row r="175" spans="2:32" x14ac:dyDescent="0.2">
      <c r="C175" s="174"/>
      <c r="D175" s="327"/>
      <c r="E175" s="328"/>
      <c r="F175" s="334"/>
      <c r="G175" s="334"/>
      <c r="H175" s="331"/>
      <c r="I175" s="313"/>
      <c r="R175" s="286"/>
      <c r="S175" s="1"/>
      <c r="T175" s="243"/>
      <c r="U175" s="1"/>
      <c r="V175" s="1"/>
      <c r="W175" s="1"/>
      <c r="X175" s="1"/>
      <c r="Y175" s="244"/>
      <c r="Z175" s="243"/>
      <c r="AA175" s="243"/>
      <c r="AB175" s="243"/>
      <c r="AC175" s="243"/>
      <c r="AD175" s="243"/>
      <c r="AE175" s="243"/>
      <c r="AF175" s="245"/>
    </row>
    <row r="176" spans="2:32" x14ac:dyDescent="0.2">
      <c r="C176" s="174"/>
      <c r="D176" s="341" t="s">
        <v>374</v>
      </c>
      <c r="E176" s="342"/>
      <c r="F176" s="334">
        <v>0</v>
      </c>
      <c r="G176" s="334">
        <f>$B$82-($G$83-$G$84)/2</f>
        <v>2.5499999999999998</v>
      </c>
      <c r="H176" s="331">
        <f>F176*G176</f>
        <v>0</v>
      </c>
      <c r="I176" s="174"/>
      <c r="R176" s="286"/>
      <c r="S176" s="1"/>
      <c r="T176" s="243"/>
      <c r="U176" s="1"/>
      <c r="V176" s="1"/>
      <c r="W176" s="1"/>
      <c r="X176" s="1"/>
      <c r="Y176" s="244"/>
      <c r="Z176" s="243"/>
      <c r="AA176" s="243"/>
      <c r="AB176" s="243"/>
      <c r="AC176" s="243"/>
      <c r="AD176" s="243"/>
      <c r="AE176" s="243"/>
      <c r="AF176" s="245"/>
    </row>
    <row r="177" spans="1:32" ht="13.5" thickBot="1" x14ac:dyDescent="0.25">
      <c r="C177" s="174"/>
      <c r="D177" s="316"/>
      <c r="E177" s="317" t="s">
        <v>364</v>
      </c>
      <c r="F177" s="318">
        <f>SUM(F173:F176)</f>
        <v>11.477499999999999</v>
      </c>
      <c r="G177" s="317"/>
      <c r="H177" s="319">
        <f>SUM(H173:H176)</f>
        <v>11.824833333333332</v>
      </c>
      <c r="I177" s="213"/>
      <c r="R177" s="286"/>
      <c r="S177" s="1"/>
      <c r="T177" s="243"/>
      <c r="U177" s="1"/>
      <c r="V177" s="1"/>
      <c r="W177" s="1"/>
      <c r="X177" s="1"/>
      <c r="Y177" s="244"/>
      <c r="Z177" s="243"/>
      <c r="AA177" s="243"/>
      <c r="AB177" s="243"/>
      <c r="AC177" s="243"/>
      <c r="AD177" s="243"/>
      <c r="AE177" s="243"/>
      <c r="AF177" s="245"/>
    </row>
    <row r="178" spans="1:32" ht="13.5" thickTop="1" x14ac:dyDescent="0.2">
      <c r="C178" s="174"/>
      <c r="D178" s="174"/>
      <c r="E178" s="174"/>
      <c r="F178" s="174"/>
      <c r="G178" s="174"/>
      <c r="H178" s="174"/>
      <c r="I178" s="174"/>
      <c r="R178" s="286"/>
      <c r="S178" s="1"/>
      <c r="T178" s="243"/>
      <c r="U178" s="1"/>
      <c r="V178" s="1"/>
      <c r="W178" s="1"/>
      <c r="X178" s="1"/>
      <c r="Y178" s="244"/>
      <c r="Z178" s="243"/>
      <c r="AA178" s="243"/>
      <c r="AB178" s="243"/>
      <c r="AC178" s="243"/>
      <c r="AD178" s="243"/>
      <c r="AE178" s="243"/>
      <c r="AF178" s="245"/>
    </row>
    <row r="179" spans="1:32" x14ac:dyDescent="0.2">
      <c r="R179" s="286"/>
      <c r="S179" s="1"/>
      <c r="T179" s="243"/>
      <c r="U179" s="1"/>
      <c r="V179" s="1"/>
      <c r="W179" s="1"/>
      <c r="X179" s="1"/>
      <c r="Y179" s="244"/>
      <c r="Z179" s="243"/>
      <c r="AA179" s="243"/>
      <c r="AB179" s="243"/>
      <c r="AC179" s="243"/>
      <c r="AD179" s="243"/>
      <c r="AE179" s="243"/>
      <c r="AF179" s="245"/>
    </row>
    <row r="180" spans="1:32" x14ac:dyDescent="0.2">
      <c r="I180" s="321"/>
      <c r="R180" s="286"/>
      <c r="S180" s="1"/>
      <c r="T180" s="243"/>
      <c r="U180" s="1"/>
      <c r="V180" s="1"/>
      <c r="W180" s="1"/>
      <c r="X180" s="1"/>
      <c r="Y180" s="244"/>
      <c r="Z180" s="243"/>
      <c r="AA180" s="243"/>
      <c r="AB180" s="243"/>
      <c r="AC180" s="243"/>
      <c r="AD180" s="243"/>
      <c r="AE180" s="243"/>
      <c r="AF180" s="245"/>
    </row>
    <row r="181" spans="1:32" x14ac:dyDescent="0.2">
      <c r="I181" s="321"/>
      <c r="R181" s="286"/>
      <c r="S181" s="1"/>
      <c r="T181" s="243"/>
      <c r="U181" s="1"/>
      <c r="V181" s="1"/>
      <c r="W181" s="1"/>
      <c r="X181" s="1"/>
      <c r="Y181" s="244"/>
      <c r="Z181" s="243"/>
      <c r="AA181" s="243"/>
      <c r="AB181" s="243"/>
      <c r="AC181" s="243"/>
      <c r="AD181" s="243"/>
      <c r="AE181" s="243"/>
      <c r="AF181" s="245"/>
    </row>
    <row r="182" spans="1:32" ht="15.75" x14ac:dyDescent="0.25">
      <c r="A182" s="172" t="s">
        <v>375</v>
      </c>
      <c r="B182" s="173" t="s">
        <v>376</v>
      </c>
      <c r="R182" s="286"/>
      <c r="S182" s="1"/>
      <c r="T182" s="243"/>
      <c r="U182" s="1"/>
      <c r="V182" s="1"/>
      <c r="W182" s="1"/>
      <c r="X182" s="1"/>
      <c r="Y182" s="244"/>
      <c r="Z182" s="243"/>
      <c r="AA182" s="243"/>
      <c r="AB182" s="243"/>
      <c r="AC182" s="243"/>
      <c r="AD182" s="243"/>
      <c r="AE182" s="243"/>
      <c r="AF182" s="245"/>
    </row>
    <row r="183" spans="1:32" ht="15.75" x14ac:dyDescent="0.25">
      <c r="A183" s="172"/>
      <c r="B183" s="173" t="s">
        <v>377</v>
      </c>
      <c r="R183" s="286"/>
      <c r="S183" s="1"/>
      <c r="T183" s="243"/>
      <c r="U183" s="1"/>
      <c r="V183" s="1"/>
      <c r="W183" s="1"/>
      <c r="X183" s="1"/>
      <c r="Y183" s="244"/>
      <c r="Z183" s="243"/>
      <c r="AA183" s="243"/>
      <c r="AB183" s="243"/>
      <c r="AC183" s="243"/>
      <c r="AD183" s="243"/>
      <c r="AE183" s="243"/>
      <c r="AF183" s="245"/>
    </row>
    <row r="184" spans="1:32" ht="12.75" customHeight="1" thickBot="1" x14ac:dyDescent="0.25">
      <c r="B184" s="17" t="s">
        <v>378</v>
      </c>
      <c r="G184" s="281"/>
      <c r="H184" s="281"/>
      <c r="I184" s="297"/>
      <c r="R184" s="286"/>
      <c r="S184" s="1"/>
      <c r="T184" s="243"/>
      <c r="U184" s="1"/>
      <c r="V184" s="1"/>
      <c r="W184" s="1"/>
      <c r="X184" s="1"/>
      <c r="Y184" s="244"/>
      <c r="Z184" s="243"/>
      <c r="AA184" s="243"/>
      <c r="AB184" s="243"/>
      <c r="AC184" s="243"/>
      <c r="AD184" s="243"/>
      <c r="AE184" s="243"/>
      <c r="AF184" s="245"/>
    </row>
    <row r="185" spans="1:32" ht="14.25" thickTop="1" thickBot="1" x14ac:dyDescent="0.25">
      <c r="C185" s="343" t="s">
        <v>379</v>
      </c>
      <c r="D185" s="344" t="s">
        <v>380</v>
      </c>
      <c r="E185" s="344" t="s">
        <v>381</v>
      </c>
      <c r="F185" s="344" t="s">
        <v>28</v>
      </c>
      <c r="G185" s="344" t="s">
        <v>382</v>
      </c>
      <c r="M185" s="286"/>
      <c r="N185" s="1"/>
      <c r="O185" s="243"/>
      <c r="P185" s="1"/>
      <c r="Q185" s="1"/>
      <c r="R185" s="1"/>
      <c r="S185" s="1"/>
      <c r="T185" s="244"/>
      <c r="U185" s="243"/>
      <c r="V185" s="243"/>
      <c r="W185" s="243"/>
      <c r="X185" s="243"/>
      <c r="Y185" s="243"/>
      <c r="Z185" s="243"/>
      <c r="AA185" s="245"/>
    </row>
    <row r="186" spans="1:32" ht="13.5" customHeight="1" thickTop="1" thickBot="1" x14ac:dyDescent="0.25">
      <c r="C186" s="345" t="s">
        <v>383</v>
      </c>
      <c r="D186" s="346" t="s">
        <v>179</v>
      </c>
      <c r="E186" s="346" t="s">
        <v>40</v>
      </c>
      <c r="F186" s="346" t="s">
        <v>28</v>
      </c>
      <c r="G186" s="344" t="s">
        <v>384</v>
      </c>
      <c r="S186" s="1"/>
      <c r="T186" s="347"/>
      <c r="U186" s="348"/>
      <c r="V186" s="243"/>
      <c r="W186" s="243"/>
      <c r="X186" s="243"/>
      <c r="Y186" s="243"/>
      <c r="Z186" s="243"/>
      <c r="AA186" s="245"/>
    </row>
    <row r="187" spans="1:32" ht="14.25" thickTop="1" thickBot="1" x14ac:dyDescent="0.25">
      <c r="C187" s="345" t="s">
        <v>385</v>
      </c>
      <c r="D187" s="349">
        <f>F173</f>
        <v>8.9124999999999996</v>
      </c>
      <c r="E187" s="349">
        <f>F174</f>
        <v>2.5649999999999999</v>
      </c>
      <c r="F187" s="349">
        <f>F176</f>
        <v>0</v>
      </c>
      <c r="G187" s="350" t="s">
        <v>386</v>
      </c>
      <c r="S187" s="1"/>
      <c r="T187" s="348"/>
      <c r="U187" s="351"/>
      <c r="V187" s="243"/>
      <c r="W187" s="243"/>
      <c r="X187" s="243"/>
      <c r="Y187" s="243"/>
      <c r="Z187" s="243"/>
      <c r="AA187" s="245"/>
    </row>
    <row r="188" spans="1:32" ht="14.25" thickTop="1" thickBot="1" x14ac:dyDescent="0.25">
      <c r="C188" s="345" t="str">
        <f>B28</f>
        <v>Resistencia I</v>
      </c>
      <c r="D188" s="349">
        <f>ROUND(D$187*LOOKUP(D$186,$C$26:$F$26,$C$28:$F$28),2)</f>
        <v>11.14</v>
      </c>
      <c r="E188" s="349">
        <f>ROUND(E$187*LOOKUP(E$186,$C$26:$F$26,$C$28:$F$28),2)</f>
        <v>3.46</v>
      </c>
      <c r="F188" s="349">
        <f>F189*1.75</f>
        <v>0</v>
      </c>
      <c r="G188" s="349">
        <f>0.95*SUM(D188:F188)</f>
        <v>13.870000000000001</v>
      </c>
      <c r="S188" s="1"/>
      <c r="T188" s="348"/>
      <c r="U188" s="351"/>
      <c r="V188" s="243"/>
      <c r="W188" s="243"/>
      <c r="X188" s="243"/>
      <c r="Y188" s="243"/>
      <c r="Z188" s="243"/>
      <c r="AA188" s="245"/>
    </row>
    <row r="189" spans="1:32" ht="13.5" customHeight="1" thickTop="1" thickBot="1" x14ac:dyDescent="0.25">
      <c r="C189" s="345" t="str">
        <f>B29</f>
        <v>Servicio I</v>
      </c>
      <c r="D189" s="349">
        <f>ROUND(D$187*LOOKUP(D$186,$C$26:$F$26,$C$29:$F$29),2)</f>
        <v>8.91</v>
      </c>
      <c r="E189" s="349">
        <f>ROUND(E$187*LOOKUP(E$186,$C$26:$F$26,$C$29:$F$29),2)</f>
        <v>2.57</v>
      </c>
      <c r="F189" s="349">
        <f>F176</f>
        <v>0</v>
      </c>
      <c r="G189" s="349">
        <f>0.95*SUM(D189:F189)</f>
        <v>10.906000000000001</v>
      </c>
      <c r="S189" s="1"/>
      <c r="T189" s="352"/>
      <c r="U189" s="243"/>
      <c r="V189" s="243"/>
      <c r="W189" s="243"/>
      <c r="X189" s="243"/>
      <c r="Y189" s="243"/>
      <c r="Z189" s="243"/>
      <c r="AA189" s="245"/>
    </row>
    <row r="190" spans="1:32" ht="13.5" thickTop="1" x14ac:dyDescent="0.2">
      <c r="D190" s="281"/>
      <c r="S190" s="1"/>
      <c r="T190" s="244"/>
      <c r="U190" s="243"/>
      <c r="V190" s="243"/>
      <c r="W190" s="243"/>
      <c r="X190" s="243"/>
      <c r="Y190" s="243"/>
      <c r="Z190" s="243"/>
      <c r="AA190" s="245"/>
    </row>
    <row r="191" spans="1:32" ht="13.5" thickBot="1" x14ac:dyDescent="0.25">
      <c r="B191" s="17" t="s">
        <v>387</v>
      </c>
      <c r="D191" s="281"/>
      <c r="S191" s="1"/>
      <c r="T191" s="244"/>
      <c r="U191" s="243"/>
      <c r="V191" s="243"/>
      <c r="W191" s="243"/>
      <c r="X191" s="243"/>
      <c r="Y191" s="243"/>
      <c r="Z191" s="243"/>
      <c r="AA191" s="245"/>
    </row>
    <row r="192" spans="1:32" ht="14.25" thickTop="1" thickBot="1" x14ac:dyDescent="0.25">
      <c r="C192" s="343" t="s">
        <v>379</v>
      </c>
      <c r="D192" s="344" t="s">
        <v>380</v>
      </c>
      <c r="E192" s="344" t="s">
        <v>381</v>
      </c>
      <c r="F192" s="344" t="s">
        <v>28</v>
      </c>
      <c r="G192" s="344" t="s">
        <v>388</v>
      </c>
      <c r="S192" s="1"/>
      <c r="T192" s="244"/>
      <c r="U192" s="243"/>
      <c r="V192" s="243"/>
      <c r="W192" s="243"/>
      <c r="X192" s="243"/>
      <c r="Y192" s="243"/>
      <c r="Z192" s="243"/>
      <c r="AA192" s="245"/>
    </row>
    <row r="193" spans="1:27" ht="14.25" thickTop="1" thickBot="1" x14ac:dyDescent="0.25">
      <c r="C193" s="345" t="s">
        <v>383</v>
      </c>
      <c r="D193" s="346" t="s">
        <v>179</v>
      </c>
      <c r="E193" s="346" t="s">
        <v>40</v>
      </c>
      <c r="F193" s="346" t="s">
        <v>28</v>
      </c>
      <c r="G193" s="344" t="s">
        <v>384</v>
      </c>
      <c r="S193" s="1"/>
      <c r="T193" s="244"/>
      <c r="U193" s="243"/>
      <c r="V193" s="243"/>
      <c r="W193" s="243"/>
      <c r="X193" s="243"/>
      <c r="Y193" s="243"/>
      <c r="Z193" s="243"/>
      <c r="AA193" s="245"/>
    </row>
    <row r="194" spans="1:27" ht="14.25" thickTop="1" thickBot="1" x14ac:dyDescent="0.25">
      <c r="C194" s="345" t="s">
        <v>389</v>
      </c>
      <c r="D194" s="349">
        <f>H173</f>
        <v>7.0533333333333328</v>
      </c>
      <c r="E194" s="349">
        <f>H174</f>
        <v>4.7714999999999996</v>
      </c>
      <c r="F194" s="349">
        <f>H176</f>
        <v>0</v>
      </c>
      <c r="G194" s="350" t="s">
        <v>386</v>
      </c>
      <c r="S194" s="1"/>
      <c r="T194" s="244"/>
      <c r="U194" s="243"/>
      <c r="V194" s="243"/>
      <c r="W194" s="243"/>
      <c r="X194" s="243"/>
      <c r="Y194" s="243"/>
      <c r="Z194" s="243"/>
      <c r="AA194" s="245"/>
    </row>
    <row r="195" spans="1:27" ht="14.25" thickTop="1" thickBot="1" x14ac:dyDescent="0.25">
      <c r="C195" s="345" t="str">
        <f>B28</f>
        <v>Resistencia I</v>
      </c>
      <c r="D195" s="349">
        <f>ROUND(D$194*LOOKUP(D$186,$C$26:$F$26,$C$28:$F$28),2)</f>
        <v>8.82</v>
      </c>
      <c r="E195" s="349">
        <f>ROUND(E$194*LOOKUP(E$186,$C$26:$F$26,$C$28:$F$28),2)</f>
        <v>6.44</v>
      </c>
      <c r="F195" s="349">
        <f>F194*1.75</f>
        <v>0</v>
      </c>
      <c r="G195" s="349">
        <f>0.95*SUM(D195:F195)</f>
        <v>14.497000000000002</v>
      </c>
      <c r="S195" s="1"/>
      <c r="T195" s="244"/>
      <c r="U195" s="243"/>
      <c r="V195" s="243"/>
      <c r="W195" s="243"/>
      <c r="X195" s="243"/>
      <c r="Y195" s="243"/>
      <c r="Z195" s="243"/>
      <c r="AA195" s="245"/>
    </row>
    <row r="196" spans="1:27" ht="14.25" thickTop="1" thickBot="1" x14ac:dyDescent="0.25">
      <c r="C196" s="345" t="str">
        <f>B29</f>
        <v>Servicio I</v>
      </c>
      <c r="D196" s="349">
        <f>ROUND(D$194*LOOKUP(D$186,$C$26:$F$26,$C$29:$F$29),2)</f>
        <v>7.05</v>
      </c>
      <c r="E196" s="349">
        <f>ROUND(E$194*LOOKUP(E$186,$C$26:$F$26,$C$29:$F$29),2)</f>
        <v>4.7699999999999996</v>
      </c>
      <c r="F196" s="349">
        <f>F194</f>
        <v>0</v>
      </c>
      <c r="G196" s="349">
        <f>0.95*SUM(D196:F196)</f>
        <v>11.228999999999999</v>
      </c>
    </row>
    <row r="197" spans="1:27" ht="13.5" thickTop="1" x14ac:dyDescent="0.2">
      <c r="G197" s="281"/>
      <c r="H197" s="281"/>
      <c r="I197" s="297"/>
    </row>
    <row r="198" spans="1:27" ht="15.75" x14ac:dyDescent="0.25">
      <c r="A198" s="172"/>
      <c r="B198" s="173" t="s">
        <v>390</v>
      </c>
      <c r="I198" s="321"/>
    </row>
    <row r="199" spans="1:27" ht="13.5" thickBot="1" x14ac:dyDescent="0.25">
      <c r="B199" s="17" t="s">
        <v>391</v>
      </c>
      <c r="G199" s="321"/>
      <c r="I199" s="321"/>
    </row>
    <row r="200" spans="1:27" ht="14.25" thickTop="1" thickBot="1" x14ac:dyDescent="0.25">
      <c r="C200" s="343" t="s">
        <v>379</v>
      </c>
      <c r="D200" s="344" t="s">
        <v>381</v>
      </c>
      <c r="E200" s="344" t="s">
        <v>392</v>
      </c>
      <c r="F200" s="344" t="s">
        <v>393</v>
      </c>
      <c r="G200" s="321"/>
    </row>
    <row r="201" spans="1:27" ht="14.25" thickTop="1" thickBot="1" x14ac:dyDescent="0.25">
      <c r="C201" s="345" t="s">
        <v>383</v>
      </c>
      <c r="D201" s="346" t="s">
        <v>41</v>
      </c>
      <c r="E201" s="346" t="s">
        <v>394</v>
      </c>
      <c r="F201" s="344" t="s">
        <v>384</v>
      </c>
      <c r="G201" s="321"/>
    </row>
    <row r="202" spans="1:27" ht="14.25" thickTop="1" thickBot="1" x14ac:dyDescent="0.25">
      <c r="C202" s="345" t="s">
        <v>395</v>
      </c>
      <c r="D202" s="349">
        <f>+F165</f>
        <v>2.6999923653946567</v>
      </c>
      <c r="E202" s="349">
        <f>F166</f>
        <v>0</v>
      </c>
      <c r="F202" s="350" t="s">
        <v>386</v>
      </c>
      <c r="G202" s="321"/>
    </row>
    <row r="203" spans="1:27" ht="14.25" thickTop="1" thickBot="1" x14ac:dyDescent="0.25">
      <c r="C203" s="345" t="str">
        <f>B28</f>
        <v>Resistencia I</v>
      </c>
      <c r="D203" s="349">
        <f>D202*1.5</f>
        <v>4.0499885480919851</v>
      </c>
      <c r="E203" s="349">
        <f>E202*1.75</f>
        <v>0</v>
      </c>
      <c r="F203" s="349">
        <f>SUM(D203:E203)</f>
        <v>4.0499885480919851</v>
      </c>
      <c r="G203" s="321"/>
    </row>
    <row r="204" spans="1:27" ht="14.25" thickTop="1" thickBot="1" x14ac:dyDescent="0.25">
      <c r="C204" s="345" t="str">
        <f>B29</f>
        <v>Servicio I</v>
      </c>
      <c r="D204" s="349">
        <f>D202</f>
        <v>2.6999923653946567</v>
      </c>
      <c r="E204" s="349">
        <f>E202</f>
        <v>0</v>
      </c>
      <c r="F204" s="349">
        <f>SUM(D204:E204)</f>
        <v>2.6999923653946567</v>
      </c>
      <c r="G204" s="321"/>
    </row>
    <row r="205" spans="1:27" ht="13.5" thickTop="1" x14ac:dyDescent="0.2">
      <c r="G205" s="321"/>
      <c r="I205" s="321"/>
    </row>
    <row r="206" spans="1:27" ht="13.5" thickBot="1" x14ac:dyDescent="0.25">
      <c r="B206" s="17" t="s">
        <v>396</v>
      </c>
      <c r="G206" s="281"/>
      <c r="I206" s="321"/>
    </row>
    <row r="207" spans="1:27" ht="14.25" thickTop="1" thickBot="1" x14ac:dyDescent="0.25">
      <c r="C207" s="343" t="s">
        <v>379</v>
      </c>
      <c r="D207" s="344" t="s">
        <v>381</v>
      </c>
      <c r="E207" s="344" t="s">
        <v>392</v>
      </c>
      <c r="F207" s="344" t="s">
        <v>397</v>
      </c>
      <c r="G207" s="321"/>
    </row>
    <row r="208" spans="1:27" ht="14.25" thickTop="1" thickBot="1" x14ac:dyDescent="0.25">
      <c r="C208" s="345" t="s">
        <v>383</v>
      </c>
      <c r="D208" s="346" t="s">
        <v>41</v>
      </c>
      <c r="E208" s="346" t="s">
        <v>394</v>
      </c>
      <c r="F208" s="344" t="s">
        <v>384</v>
      </c>
      <c r="G208" s="321"/>
    </row>
    <row r="209" spans="1:32" ht="14.25" thickTop="1" thickBot="1" x14ac:dyDescent="0.25">
      <c r="C209" s="345" t="s">
        <v>398</v>
      </c>
      <c r="D209" s="349">
        <f>+H165</f>
        <v>2.6999923653946567</v>
      </c>
      <c r="E209" s="349">
        <f>H166</f>
        <v>0</v>
      </c>
      <c r="F209" s="349" t="s">
        <v>399</v>
      </c>
      <c r="G209" s="321"/>
    </row>
    <row r="210" spans="1:32" ht="14.25" thickTop="1" thickBot="1" x14ac:dyDescent="0.25">
      <c r="C210" s="345" t="str">
        <f>B28</f>
        <v>Resistencia I</v>
      </c>
      <c r="D210" s="349">
        <f>D209*1.5</f>
        <v>4.0499885480919851</v>
      </c>
      <c r="E210" s="349">
        <f>E209*1.75</f>
        <v>0</v>
      </c>
      <c r="F210" s="349">
        <f>SUM(D210:E210)</f>
        <v>4.0499885480919851</v>
      </c>
      <c r="G210" s="321"/>
    </row>
    <row r="211" spans="1:32" ht="14.25" thickTop="1" thickBot="1" x14ac:dyDescent="0.25">
      <c r="C211" s="345" t="str">
        <f>B29</f>
        <v>Servicio I</v>
      </c>
      <c r="D211" s="349">
        <f>D209</f>
        <v>2.6999923653946567</v>
      </c>
      <c r="E211" s="349">
        <f>E209</f>
        <v>0</v>
      </c>
      <c r="F211" s="349">
        <f>SUM(D211:E211)</f>
        <v>2.6999923653946567</v>
      </c>
      <c r="G211" s="321"/>
    </row>
    <row r="212" spans="1:32" ht="13.5" thickTop="1" x14ac:dyDescent="0.2">
      <c r="I212" s="321"/>
    </row>
    <row r="213" spans="1:32" ht="15.75" x14ac:dyDescent="0.25">
      <c r="A213" s="353" t="s">
        <v>400</v>
      </c>
      <c r="B213" s="173" t="s">
        <v>401</v>
      </c>
      <c r="G213" s="281"/>
      <c r="H213" s="281"/>
      <c r="I213" s="297"/>
    </row>
    <row r="214" spans="1:32" ht="15.75" x14ac:dyDescent="0.25">
      <c r="B214" s="289"/>
      <c r="G214" s="281"/>
      <c r="H214" s="354"/>
      <c r="I214" s="332"/>
    </row>
    <row r="215" spans="1:32" ht="17.25" x14ac:dyDescent="0.3">
      <c r="B215" s="289" t="s">
        <v>402</v>
      </c>
      <c r="G215" s="281"/>
      <c r="H215" s="354"/>
      <c r="I215" s="179"/>
    </row>
    <row r="216" spans="1:32" x14ac:dyDescent="0.2">
      <c r="G216" s="281"/>
      <c r="H216" s="313"/>
      <c r="I216" s="355"/>
    </row>
    <row r="217" spans="1:32" x14ac:dyDescent="0.2">
      <c r="G217" s="281"/>
    </row>
    <row r="218" spans="1:32" x14ac:dyDescent="0.2">
      <c r="A218" s="179"/>
      <c r="B218" s="179"/>
      <c r="C218" s="212"/>
      <c r="D218" s="179"/>
      <c r="E218" s="179"/>
      <c r="F218" s="179"/>
      <c r="G218" s="354"/>
      <c r="H218" s="179"/>
      <c r="I218" s="179"/>
      <c r="J218" s="179"/>
      <c r="K218" s="179"/>
    </row>
    <row r="219" spans="1:32" x14ac:dyDescent="0.2">
      <c r="A219" s="179"/>
      <c r="B219" s="179"/>
      <c r="C219" s="179"/>
      <c r="D219" s="179"/>
      <c r="E219" s="179"/>
      <c r="F219" s="179"/>
      <c r="G219" s="354"/>
      <c r="H219" s="313"/>
      <c r="I219" s="355"/>
      <c r="J219" s="179"/>
      <c r="K219" s="179"/>
    </row>
    <row r="220" spans="1:32" ht="15.75" hidden="1" customHeight="1" x14ac:dyDescent="0.2">
      <c r="A220" s="179"/>
      <c r="B220" s="179"/>
      <c r="C220" s="179"/>
      <c r="D220" s="179"/>
      <c r="E220" s="179"/>
      <c r="F220" s="179"/>
      <c r="G220" s="354"/>
      <c r="H220" s="313"/>
      <c r="I220" s="355"/>
      <c r="J220" s="179"/>
      <c r="K220" s="179"/>
    </row>
    <row r="221" spans="1:32" ht="15.75" hidden="1" customHeight="1" x14ac:dyDescent="0.2">
      <c r="A221" s="179"/>
      <c r="B221" s="179"/>
      <c r="C221" s="179"/>
      <c r="D221" s="179"/>
      <c r="E221" s="179"/>
      <c r="F221" s="179"/>
      <c r="G221" s="354"/>
      <c r="H221" s="313"/>
      <c r="I221" s="355"/>
      <c r="J221" s="179"/>
      <c r="K221" s="179"/>
    </row>
    <row r="222" spans="1:32" s="179" customFormat="1" ht="15.75" hidden="1" customHeight="1" x14ac:dyDescent="0.2">
      <c r="B222" s="212"/>
      <c r="C222" s="212"/>
      <c r="G222" s="354"/>
      <c r="H222" s="354"/>
      <c r="I222" s="313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s="179" customFormat="1" ht="15.75" hidden="1" customHeight="1" x14ac:dyDescent="0.2">
      <c r="B223" s="212"/>
      <c r="G223" s="354"/>
      <c r="H223" s="354"/>
      <c r="I223" s="31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s="179" customFormat="1" ht="15.75" hidden="1" customHeight="1" x14ac:dyDescent="0.2">
      <c r="B224" s="212"/>
      <c r="G224" s="354"/>
      <c r="H224" s="354"/>
      <c r="I224" s="313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47" s="179" customFormat="1" ht="15.75" hidden="1" customHeight="1" x14ac:dyDescent="0.2">
      <c r="B225" s="212"/>
      <c r="G225" s="354"/>
      <c r="H225" s="354"/>
      <c r="I225" s="313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47" s="179" customFormat="1" ht="15.75" hidden="1" customHeight="1" x14ac:dyDescent="0.2">
      <c r="A226"/>
      <c r="B226" t="s">
        <v>403</v>
      </c>
      <c r="C226"/>
      <c r="D226"/>
      <c r="E226"/>
      <c r="F226"/>
      <c r="G226" s="281"/>
      <c r="H226" s="281"/>
      <c r="I226"/>
      <c r="J226"/>
      <c r="K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47" s="179" customFormat="1" ht="15.75" hidden="1" customHeight="1" x14ac:dyDescent="0.2">
      <c r="A227"/>
      <c r="B227" t="s">
        <v>404</v>
      </c>
      <c r="C227"/>
      <c r="D227"/>
      <c r="E227"/>
      <c r="F227"/>
      <c r="G227" s="281"/>
      <c r="H227" s="281"/>
      <c r="I227"/>
      <c r="J227"/>
      <c r="K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47" s="179" customFormat="1" ht="15.75" hidden="1" customHeight="1" x14ac:dyDescent="0.2">
      <c r="A228"/>
      <c r="B228" t="s">
        <v>405</v>
      </c>
      <c r="C228"/>
      <c r="D228"/>
      <c r="E228"/>
      <c r="F228"/>
      <c r="G228" s="281"/>
      <c r="H228" s="281"/>
      <c r="I228"/>
      <c r="J228"/>
      <c r="K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47" s="179" customFormat="1" ht="15.75" hidden="1" customHeight="1" x14ac:dyDescent="0.3">
      <c r="A229"/>
      <c r="B229" t="s">
        <v>406</v>
      </c>
      <c r="C229"/>
      <c r="D229"/>
      <c r="E229"/>
      <c r="F229"/>
      <c r="G229" s="281"/>
      <c r="H229" s="281"/>
      <c r="I229"/>
      <c r="J229"/>
      <c r="K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47" x14ac:dyDescent="0.2">
      <c r="G230" s="281"/>
      <c r="H230" s="281"/>
    </row>
    <row r="231" spans="1:47" ht="15.75" x14ac:dyDescent="0.25">
      <c r="B231" s="289"/>
    </row>
    <row r="232" spans="1:47" ht="15.75" x14ac:dyDescent="0.25">
      <c r="B232" s="356"/>
      <c r="AG232" s="357"/>
      <c r="AH232" s="357"/>
      <c r="AI232" s="357"/>
      <c r="AJ232" s="357"/>
      <c r="AK232" s="357"/>
      <c r="AL232" s="357"/>
      <c r="AM232" s="357"/>
      <c r="AN232" s="357"/>
      <c r="AO232" s="357"/>
      <c r="AP232" s="357"/>
      <c r="AQ232" s="357"/>
      <c r="AR232" s="357"/>
      <c r="AS232" s="357"/>
      <c r="AT232" s="357"/>
      <c r="AU232" s="357"/>
    </row>
    <row r="233" spans="1:47" x14ac:dyDescent="0.2">
      <c r="AG233" s="358"/>
      <c r="AH233" s="358"/>
      <c r="AI233" s="358"/>
      <c r="AJ233" s="358"/>
      <c r="AK233" s="357"/>
      <c r="AL233" s="357"/>
      <c r="AM233" s="357"/>
      <c r="AN233" s="357"/>
      <c r="AO233" s="357"/>
      <c r="AP233" s="357"/>
      <c r="AQ233" s="357"/>
      <c r="AR233" s="357"/>
      <c r="AS233" s="357"/>
      <c r="AT233" s="357"/>
      <c r="AU233" s="357"/>
    </row>
    <row r="234" spans="1:47" x14ac:dyDescent="0.2">
      <c r="AH234" s="358"/>
      <c r="AI234" s="358"/>
      <c r="AJ234" s="358"/>
      <c r="AK234" s="357"/>
      <c r="AL234" s="357"/>
      <c r="AM234" s="357"/>
      <c r="AN234" s="357"/>
      <c r="AO234" s="357"/>
      <c r="AP234" s="357"/>
      <c r="AQ234" s="357"/>
      <c r="AR234" s="357"/>
      <c r="AS234" s="357"/>
      <c r="AT234" s="357"/>
      <c r="AU234" s="357"/>
    </row>
    <row r="235" spans="1:47" x14ac:dyDescent="0.2">
      <c r="AH235" s="358"/>
      <c r="AI235" s="358"/>
      <c r="AJ235" s="358"/>
      <c r="AK235" s="357"/>
      <c r="AL235" s="357"/>
      <c r="AM235" s="357"/>
      <c r="AN235" s="357"/>
      <c r="AO235" s="357"/>
      <c r="AP235" s="357"/>
      <c r="AQ235" s="357"/>
      <c r="AR235" s="357"/>
      <c r="AS235" s="357"/>
      <c r="AT235" s="357"/>
      <c r="AU235" s="357"/>
    </row>
    <row r="236" spans="1:47" ht="15.75" x14ac:dyDescent="0.25">
      <c r="B236" s="356" t="s">
        <v>407</v>
      </c>
      <c r="AH236" s="358"/>
      <c r="AI236" s="358"/>
      <c r="AJ236" s="358"/>
      <c r="AK236" s="357"/>
      <c r="AL236" s="357"/>
      <c r="AM236" s="357"/>
      <c r="AN236" s="357"/>
      <c r="AO236" s="357"/>
      <c r="AP236" s="357"/>
      <c r="AQ236" s="357"/>
      <c r="AR236" s="357"/>
      <c r="AS236" s="357"/>
      <c r="AT236" s="357"/>
      <c r="AU236" s="357"/>
    </row>
    <row r="237" spans="1:47" ht="15.75" x14ac:dyDescent="0.25">
      <c r="B237" s="290" t="s">
        <v>408</v>
      </c>
      <c r="E237" s="17">
        <f>F68</f>
        <v>30</v>
      </c>
      <c r="AH237" s="358"/>
      <c r="AI237" s="358"/>
      <c r="AJ237" s="358"/>
      <c r="AK237" s="357"/>
      <c r="AL237" s="357"/>
      <c r="AM237" s="357"/>
      <c r="AN237" s="357"/>
      <c r="AO237" s="357"/>
      <c r="AP237" s="357"/>
      <c r="AQ237" s="357"/>
      <c r="AR237" s="357"/>
      <c r="AS237" s="357"/>
      <c r="AT237" s="357"/>
      <c r="AU237" s="357"/>
    </row>
    <row r="238" spans="1:47" ht="15.75" x14ac:dyDescent="0.25">
      <c r="B238" s="290" t="s">
        <v>409</v>
      </c>
      <c r="E238" s="178">
        <v>0</v>
      </c>
      <c r="AH238" s="358"/>
      <c r="AI238" s="358"/>
      <c r="AJ238" s="358"/>
      <c r="AK238" s="357"/>
      <c r="AL238" s="357"/>
      <c r="AM238" s="357"/>
      <c r="AN238" s="357"/>
      <c r="AO238" s="357"/>
      <c r="AP238" s="357"/>
      <c r="AQ238" s="357"/>
      <c r="AR238" s="357"/>
      <c r="AS238" s="357"/>
      <c r="AT238" s="357"/>
      <c r="AU238" s="357"/>
    </row>
    <row r="239" spans="1:47" ht="15.75" x14ac:dyDescent="0.25">
      <c r="B239" s="356" t="s">
        <v>410</v>
      </c>
      <c r="E239" s="178">
        <v>0</v>
      </c>
      <c r="AH239" s="358"/>
      <c r="AI239" s="358"/>
      <c r="AJ239" s="358"/>
      <c r="AK239" s="357"/>
      <c r="AL239" s="357"/>
      <c r="AM239" s="357"/>
      <c r="AN239" s="357"/>
      <c r="AO239" s="357"/>
      <c r="AP239" s="357"/>
      <c r="AQ239" s="357"/>
      <c r="AR239" s="357"/>
      <c r="AS239" s="357"/>
      <c r="AT239" s="357"/>
      <c r="AU239" s="357"/>
    </row>
    <row r="240" spans="1:47" ht="15.75" x14ac:dyDescent="0.25">
      <c r="B240" s="290" t="s">
        <v>411</v>
      </c>
      <c r="E240" s="256">
        <f>D14</f>
        <v>23.75</v>
      </c>
      <c r="AH240" s="358"/>
      <c r="AI240" s="358"/>
      <c r="AJ240" s="358"/>
      <c r="AK240" s="357"/>
      <c r="AL240" s="357"/>
      <c r="AM240" s="357"/>
      <c r="AN240" s="357"/>
      <c r="AO240" s="357"/>
      <c r="AP240" s="357"/>
      <c r="AQ240" s="357"/>
      <c r="AR240" s="357"/>
      <c r="AS240" s="357"/>
      <c r="AT240" s="357"/>
      <c r="AU240" s="357"/>
    </row>
    <row r="241" spans="2:47" ht="15.75" x14ac:dyDescent="0.25">
      <c r="B241" s="356"/>
      <c r="AH241" s="358"/>
      <c r="AI241" s="358"/>
      <c r="AJ241" s="358"/>
      <c r="AK241" s="357"/>
      <c r="AL241" s="357"/>
      <c r="AM241" s="357"/>
      <c r="AN241" s="357"/>
      <c r="AO241" s="357"/>
      <c r="AP241" s="357"/>
      <c r="AQ241" s="357"/>
      <c r="AR241" s="357"/>
      <c r="AS241" s="357"/>
      <c r="AT241" s="357"/>
      <c r="AU241" s="357"/>
    </row>
    <row r="242" spans="2:47" x14ac:dyDescent="0.2">
      <c r="AH242" s="358"/>
      <c r="AI242" s="358"/>
      <c r="AJ242" s="358"/>
      <c r="AK242" s="357"/>
      <c r="AL242" s="357"/>
      <c r="AM242" s="357"/>
      <c r="AN242" s="357"/>
      <c r="AO242" s="357"/>
      <c r="AP242" s="357"/>
      <c r="AQ242" s="357"/>
      <c r="AR242" s="357"/>
      <c r="AS242" s="357"/>
      <c r="AT242" s="357"/>
      <c r="AU242" s="357"/>
    </row>
    <row r="243" spans="2:47" ht="15.75" x14ac:dyDescent="0.25">
      <c r="B243" s="356"/>
      <c r="E243" t="s">
        <v>412</v>
      </c>
      <c r="AH243" s="358"/>
      <c r="AI243" s="358"/>
      <c r="AJ243" s="358"/>
      <c r="AK243" s="357"/>
      <c r="AL243" s="357"/>
      <c r="AM243" s="357"/>
      <c r="AN243" s="357"/>
      <c r="AO243" s="357"/>
      <c r="AP243" s="357"/>
      <c r="AQ243" s="357"/>
      <c r="AR243" s="357"/>
      <c r="AS243" s="357"/>
      <c r="AT243" s="357"/>
      <c r="AU243" s="357"/>
    </row>
    <row r="244" spans="2:47" x14ac:dyDescent="0.2">
      <c r="AH244" s="359"/>
      <c r="AI244" s="359"/>
      <c r="AJ244" s="358"/>
      <c r="AK244" s="357"/>
      <c r="AL244" s="357"/>
      <c r="AM244" s="357"/>
      <c r="AN244" s="357"/>
      <c r="AO244" s="357"/>
      <c r="AP244" s="357"/>
      <c r="AQ244" s="357"/>
      <c r="AR244" s="357"/>
      <c r="AS244" s="357"/>
      <c r="AT244" s="357"/>
      <c r="AU244" s="357"/>
    </row>
    <row r="245" spans="2:47" x14ac:dyDescent="0.2">
      <c r="F245" s="179"/>
      <c r="G245" s="179"/>
      <c r="H245" s="179"/>
      <c r="AH245" s="359"/>
      <c r="AI245" s="359"/>
      <c r="AJ245" s="358"/>
      <c r="AK245" s="357"/>
      <c r="AL245" s="357"/>
      <c r="AM245" s="357"/>
      <c r="AN245" s="357"/>
      <c r="AO245" s="357"/>
      <c r="AP245" s="357"/>
      <c r="AQ245" s="357"/>
      <c r="AR245" s="357"/>
      <c r="AS245" s="357"/>
      <c r="AT245" s="357"/>
      <c r="AU245" s="357"/>
    </row>
    <row r="246" spans="2:47" ht="18.75" x14ac:dyDescent="0.35">
      <c r="B246" s="356" t="s">
        <v>413</v>
      </c>
      <c r="F246" s="179"/>
      <c r="G246" s="360" t="s">
        <v>414</v>
      </c>
      <c r="H246" s="361">
        <f>F64/2</f>
        <v>0.2</v>
      </c>
      <c r="AH246" s="359"/>
      <c r="AI246" s="359"/>
      <c r="AJ246" s="358"/>
      <c r="AK246" s="357"/>
      <c r="AL246" s="357"/>
      <c r="AM246" s="357"/>
      <c r="AN246" s="357"/>
      <c r="AO246" s="357"/>
      <c r="AP246" s="357"/>
      <c r="AQ246" s="357"/>
      <c r="AR246" s="357"/>
      <c r="AS246" s="357"/>
      <c r="AT246" s="357"/>
      <c r="AU246" s="357"/>
    </row>
    <row r="247" spans="2:47" ht="18.75" x14ac:dyDescent="0.35">
      <c r="B247" s="356" t="s">
        <v>415</v>
      </c>
      <c r="E247" t="s">
        <v>416</v>
      </c>
      <c r="F247" s="179"/>
      <c r="G247" s="179"/>
      <c r="H247" s="362"/>
      <c r="AH247" s="359"/>
      <c r="AI247" s="359"/>
      <c r="AJ247" s="358"/>
      <c r="AK247" s="357"/>
      <c r="AL247" s="357"/>
      <c r="AM247" s="357"/>
      <c r="AN247" s="357"/>
      <c r="AO247" s="357"/>
      <c r="AP247" s="357"/>
      <c r="AQ247" s="357"/>
      <c r="AR247" s="357"/>
      <c r="AS247" s="357"/>
      <c r="AT247" s="357"/>
      <c r="AU247" s="357"/>
    </row>
    <row r="248" spans="2:47" ht="15.75" x14ac:dyDescent="0.3">
      <c r="B248" t="s">
        <v>417</v>
      </c>
      <c r="F248" s="179"/>
      <c r="G248" s="360" t="s">
        <v>418</v>
      </c>
      <c r="H248" s="361">
        <f>0.4*H246</f>
        <v>8.0000000000000016E-2</v>
      </c>
      <c r="AH248" s="359"/>
      <c r="AI248" s="359"/>
      <c r="AJ248" s="358"/>
      <c r="AK248" s="357"/>
      <c r="AL248" s="357"/>
      <c r="AM248" s="357"/>
      <c r="AN248" s="357"/>
      <c r="AO248" s="357"/>
      <c r="AP248" s="357"/>
      <c r="AQ248" s="357"/>
      <c r="AR248" s="357"/>
      <c r="AS248" s="357"/>
      <c r="AT248" s="357"/>
      <c r="AU248" s="357"/>
    </row>
    <row r="249" spans="2:47" ht="15.75" x14ac:dyDescent="0.25">
      <c r="B249" s="356" t="s">
        <v>419</v>
      </c>
      <c r="F249" s="179"/>
      <c r="G249" s="179"/>
      <c r="H249" s="362"/>
      <c r="AH249" s="359"/>
      <c r="AI249" s="359"/>
      <c r="AJ249" s="358"/>
      <c r="AK249" s="357"/>
      <c r="AL249" s="357"/>
      <c r="AM249" s="357"/>
      <c r="AN249" s="357"/>
      <c r="AO249" s="357"/>
      <c r="AP249" s="357"/>
      <c r="AQ249" s="357"/>
      <c r="AR249" s="357"/>
      <c r="AS249" s="357"/>
      <c r="AT249" s="357"/>
      <c r="AU249" s="357"/>
    </row>
    <row r="250" spans="2:47" x14ac:dyDescent="0.2">
      <c r="F250" s="179"/>
      <c r="G250" s="179"/>
      <c r="H250" s="362"/>
      <c r="AH250" s="359"/>
      <c r="AI250" s="359"/>
      <c r="AJ250" s="358"/>
      <c r="AK250" s="357"/>
      <c r="AL250" s="357"/>
      <c r="AM250" s="357"/>
      <c r="AN250" s="357"/>
      <c r="AO250" s="357"/>
      <c r="AP250" s="357"/>
      <c r="AQ250" s="357"/>
      <c r="AR250" s="357"/>
      <c r="AS250" s="357"/>
      <c r="AT250" s="357"/>
      <c r="AU250" s="357"/>
    </row>
    <row r="251" spans="2:47" x14ac:dyDescent="0.2">
      <c r="E251" s="363"/>
      <c r="F251" s="364"/>
      <c r="G251" s="365" t="s">
        <v>420</v>
      </c>
      <c r="H251" s="361">
        <f>ATAN(H246/(1-H248))*180/3.1416</f>
        <v>12.264745047583357</v>
      </c>
      <c r="AH251" s="359"/>
      <c r="AI251" s="359"/>
      <c r="AJ251" s="358"/>
      <c r="AK251" s="357"/>
      <c r="AL251" s="357"/>
      <c r="AM251" s="357"/>
      <c r="AN251" s="357"/>
      <c r="AO251" s="357"/>
      <c r="AP251" s="357"/>
      <c r="AQ251" s="357"/>
      <c r="AR251" s="357"/>
      <c r="AS251" s="357"/>
      <c r="AT251" s="357"/>
      <c r="AU251" s="357"/>
    </row>
    <row r="252" spans="2:47" x14ac:dyDescent="0.2">
      <c r="F252" s="179"/>
      <c r="G252" s="364"/>
      <c r="H252" s="362"/>
      <c r="AH252" s="359"/>
      <c r="AI252" s="359"/>
      <c r="AJ252" s="358"/>
      <c r="AK252" s="357"/>
      <c r="AL252" s="357"/>
      <c r="AM252" s="357"/>
      <c r="AN252" s="357"/>
      <c r="AO252" s="357"/>
      <c r="AP252" s="357"/>
      <c r="AQ252" s="357"/>
      <c r="AR252" s="357"/>
      <c r="AS252" s="357"/>
      <c r="AT252" s="357"/>
      <c r="AU252" s="357"/>
    </row>
    <row r="253" spans="2:47" x14ac:dyDescent="0.2">
      <c r="B253" t="s">
        <v>421</v>
      </c>
      <c r="F253" s="179"/>
      <c r="G253" s="364"/>
      <c r="H253" s="362"/>
      <c r="AH253" s="359"/>
      <c r="AI253" s="359"/>
      <c r="AJ253" s="358"/>
      <c r="AK253" s="357"/>
      <c r="AL253" s="357"/>
      <c r="AM253" s="357"/>
      <c r="AN253" s="357"/>
      <c r="AO253" s="357"/>
      <c r="AP253" s="357"/>
      <c r="AQ253" s="357"/>
      <c r="AR253" s="357"/>
      <c r="AS253" s="357"/>
      <c r="AT253" s="357"/>
      <c r="AU253" s="357"/>
    </row>
    <row r="254" spans="2:47" x14ac:dyDescent="0.2">
      <c r="F254" s="179"/>
      <c r="G254" s="364"/>
      <c r="H254" s="362"/>
      <c r="AH254" s="359"/>
      <c r="AI254" s="359"/>
      <c r="AJ254" s="358"/>
      <c r="AK254" s="357"/>
      <c r="AL254" s="357"/>
      <c r="AM254" s="357"/>
      <c r="AN254" s="357"/>
      <c r="AO254" s="357"/>
      <c r="AP254" s="357"/>
      <c r="AQ254" s="357"/>
      <c r="AR254" s="357"/>
      <c r="AS254" s="357"/>
      <c r="AT254" s="357"/>
      <c r="AU254" s="357"/>
    </row>
    <row r="255" spans="2:47" x14ac:dyDescent="0.2">
      <c r="F255" s="179"/>
      <c r="G255" s="365" t="s">
        <v>422</v>
      </c>
      <c r="H255" s="361">
        <f>(1+SQRT(SIN((E237+E238)*3.1416/180)*SIN((E237-E239-H251)*3.1416/180)/(COS((E238+E240+H251)*3.1416/180)*COS((E239-E240)*3.1416/180))))^2</f>
        <v>2.1128594360191775</v>
      </c>
      <c r="AH255" s="359"/>
      <c r="AI255" s="359"/>
      <c r="AJ255" s="358"/>
      <c r="AK255" s="357"/>
      <c r="AL255" s="357"/>
      <c r="AM255" s="357"/>
      <c r="AN255" s="357"/>
      <c r="AO255" s="357"/>
      <c r="AP255" s="357"/>
      <c r="AQ255" s="357"/>
      <c r="AR255" s="357"/>
      <c r="AS255" s="357"/>
      <c r="AT255" s="357"/>
      <c r="AU255" s="357"/>
    </row>
    <row r="256" spans="2:47" x14ac:dyDescent="0.2">
      <c r="F256" s="179"/>
      <c r="G256" s="179"/>
      <c r="H256" s="362"/>
      <c r="AH256" s="358"/>
      <c r="AI256" s="358"/>
      <c r="AJ256" s="358"/>
      <c r="AK256" s="357"/>
      <c r="AL256" s="357"/>
      <c r="AM256" s="357"/>
      <c r="AN256" s="357"/>
      <c r="AO256" s="357"/>
      <c r="AP256" s="357"/>
      <c r="AQ256" s="357"/>
      <c r="AR256" s="357"/>
      <c r="AS256" s="357"/>
      <c r="AT256" s="357"/>
      <c r="AU256" s="357"/>
    </row>
    <row r="257" spans="2:47" x14ac:dyDescent="0.2">
      <c r="F257" s="179"/>
      <c r="G257" s="179"/>
      <c r="H257" s="179"/>
      <c r="AH257" s="357"/>
      <c r="AI257" s="357"/>
      <c r="AJ257" s="357"/>
      <c r="AK257" s="357"/>
      <c r="AL257" s="357"/>
      <c r="AM257" s="357"/>
      <c r="AN257" s="357"/>
      <c r="AO257" s="357"/>
      <c r="AP257" s="357"/>
      <c r="AQ257" s="357"/>
      <c r="AR257" s="357"/>
      <c r="AS257" s="357"/>
      <c r="AT257" s="357"/>
      <c r="AU257" s="357"/>
    </row>
    <row r="258" spans="2:47" ht="15.75" x14ac:dyDescent="0.3">
      <c r="B258" t="s">
        <v>423</v>
      </c>
      <c r="F258" s="179"/>
      <c r="G258" s="179"/>
      <c r="H258" s="179"/>
      <c r="AH258" s="357"/>
      <c r="AI258" s="357"/>
      <c r="AJ258" s="357"/>
      <c r="AK258" s="357"/>
      <c r="AL258" s="357"/>
      <c r="AM258" s="357"/>
      <c r="AN258" s="357"/>
      <c r="AO258" s="357"/>
      <c r="AP258" s="357"/>
      <c r="AQ258" s="357"/>
      <c r="AR258" s="357"/>
      <c r="AS258" s="357"/>
      <c r="AT258" s="357"/>
      <c r="AU258" s="357"/>
    </row>
    <row r="259" spans="2:47" ht="14.25" x14ac:dyDescent="0.25">
      <c r="F259" s="179"/>
      <c r="G259" s="360" t="s">
        <v>424</v>
      </c>
      <c r="H259" s="361">
        <f>COS((F68-H251-E240)*3.1416/180)^2/(H255*COS((H251)*3.1416/180)*COS(E240*3.1416/180)^2*COS((E238+E240+H251)*3.1416/180))</f>
        <v>0.70688406185828878</v>
      </c>
    </row>
    <row r="260" spans="2:47" x14ac:dyDescent="0.2">
      <c r="F260" s="179"/>
      <c r="G260" s="179"/>
      <c r="H260" s="179"/>
    </row>
    <row r="261" spans="2:47" x14ac:dyDescent="0.2">
      <c r="F261" s="179"/>
      <c r="G261" s="179"/>
      <c r="H261" s="179"/>
    </row>
    <row r="262" spans="2:47" ht="15.75" x14ac:dyDescent="0.3">
      <c r="B262" t="s">
        <v>425</v>
      </c>
      <c r="F262" s="179"/>
      <c r="G262" s="360" t="s">
        <v>426</v>
      </c>
      <c r="H262" s="361">
        <f>D133</f>
        <v>2.6999923653946567</v>
      </c>
      <c r="I262" s="366">
        <f>0.5*0.3*F65*(1-H248)*H259*F54^2</f>
        <v>1.5803100086903903</v>
      </c>
    </row>
    <row r="263" spans="2:47" ht="14.25" x14ac:dyDescent="0.25">
      <c r="F263" s="179"/>
      <c r="G263" s="360" t="s">
        <v>427</v>
      </c>
      <c r="H263" s="367">
        <f>0.5*F65*(1-H248)*H259*F54^2*F75</f>
        <v>5.2677000289679672</v>
      </c>
      <c r="I263" s="17"/>
    </row>
    <row r="264" spans="2:47" x14ac:dyDescent="0.2">
      <c r="F264" s="179"/>
      <c r="G264" s="179"/>
      <c r="H264" s="179"/>
    </row>
    <row r="265" spans="2:47" ht="15.75" x14ac:dyDescent="0.3">
      <c r="B265" t="s">
        <v>428</v>
      </c>
    </row>
    <row r="266" spans="2:47" x14ac:dyDescent="0.2">
      <c r="B266" t="s">
        <v>429</v>
      </c>
    </row>
    <row r="268" spans="2:47" ht="15.75" x14ac:dyDescent="0.3">
      <c r="G268" s="363" t="s">
        <v>430</v>
      </c>
      <c r="H268" s="368">
        <f>H263-D133</f>
        <v>2.5677076635733105</v>
      </c>
      <c r="I268" s="17"/>
    </row>
    <row r="270" spans="2:47" x14ac:dyDescent="0.2">
      <c r="B270" t="s">
        <v>431</v>
      </c>
    </row>
    <row r="271" spans="2:47" x14ac:dyDescent="0.2">
      <c r="B271" t="s">
        <v>432</v>
      </c>
    </row>
    <row r="273" spans="1:11" ht="15.75" x14ac:dyDescent="0.3">
      <c r="G273" s="296" t="s">
        <v>433</v>
      </c>
      <c r="H273" s="369">
        <f>D133*F54/3+H268*0.6*F54</f>
        <v>7.3218661598266159</v>
      </c>
    </row>
    <row r="275" spans="1:11" ht="15.75" x14ac:dyDescent="0.3">
      <c r="D275" s="296" t="s">
        <v>433</v>
      </c>
      <c r="E275" s="370">
        <f>H273</f>
        <v>7.3218661598266159</v>
      </c>
      <c r="F275" s="207" t="s">
        <v>434</v>
      </c>
      <c r="G275" t="s">
        <v>435</v>
      </c>
    </row>
    <row r="276" spans="1:11" ht="15.75" x14ac:dyDescent="0.3">
      <c r="D276" s="296" t="s">
        <v>433</v>
      </c>
      <c r="E276" s="371">
        <f>D136</f>
        <v>2.6999923653946567</v>
      </c>
      <c r="F276" s="207" t="s">
        <v>434</v>
      </c>
      <c r="G276" t="s">
        <v>436</v>
      </c>
    </row>
    <row r="277" spans="1:11" x14ac:dyDescent="0.2">
      <c r="D277" s="296"/>
      <c r="E277" s="370"/>
      <c r="F277" s="207"/>
    </row>
    <row r="278" spans="1:11" x14ac:dyDescent="0.2">
      <c r="D278" s="296"/>
      <c r="E278" s="370"/>
      <c r="F278" s="207"/>
    </row>
    <row r="279" spans="1:11" x14ac:dyDescent="0.2">
      <c r="D279" s="296"/>
      <c r="E279" s="370"/>
      <c r="F279" s="207"/>
    </row>
    <row r="280" spans="1:11" ht="15.75" x14ac:dyDescent="0.25">
      <c r="B280" s="289"/>
      <c r="G280" s="281"/>
      <c r="H280" s="281"/>
      <c r="I280" s="321"/>
    </row>
    <row r="281" spans="1:11" ht="13.5" thickBot="1" x14ac:dyDescent="0.25">
      <c r="C281" s="17"/>
      <c r="D281" s="174"/>
      <c r="E281" s="212" t="s">
        <v>367</v>
      </c>
      <c r="F281" s="174"/>
      <c r="G281" s="213"/>
      <c r="H281" s="213"/>
      <c r="I281" s="174"/>
    </row>
    <row r="282" spans="1:11" ht="13.5" thickTop="1" x14ac:dyDescent="0.2">
      <c r="D282" s="372"/>
      <c r="E282" s="373" t="s">
        <v>358</v>
      </c>
      <c r="F282" s="373" t="s">
        <v>368</v>
      </c>
      <c r="G282" s="373" t="s">
        <v>369</v>
      </c>
      <c r="H282" s="374" t="s">
        <v>370</v>
      </c>
      <c r="I282" s="332"/>
    </row>
    <row r="283" spans="1:11" x14ac:dyDescent="0.2">
      <c r="C283" t="s">
        <v>41</v>
      </c>
      <c r="D283" s="375" t="s">
        <v>437</v>
      </c>
      <c r="E283" s="376"/>
      <c r="F283" s="377">
        <f>$D$133</f>
        <v>2.6999923653946567</v>
      </c>
      <c r="G283" s="378">
        <f>F54/3</f>
        <v>1</v>
      </c>
      <c r="H283" s="379">
        <f>F283*G283</f>
        <v>2.6999923653946567</v>
      </c>
      <c r="I283" s="174"/>
    </row>
    <row r="284" spans="1:11" ht="15.75" x14ac:dyDescent="0.3">
      <c r="C284" t="s">
        <v>93</v>
      </c>
      <c r="D284" s="380" t="s">
        <v>438</v>
      </c>
      <c r="E284" s="376"/>
      <c r="F284" s="377">
        <f>H268</f>
        <v>2.5677076635733105</v>
      </c>
      <c r="G284" s="378">
        <f>0.6*F54</f>
        <v>1.7999999999999998</v>
      </c>
      <c r="H284" s="379">
        <f>F284*G284</f>
        <v>4.6218737944319583</v>
      </c>
      <c r="I284" s="174"/>
    </row>
    <row r="285" spans="1:11" x14ac:dyDescent="0.2">
      <c r="A285" s="179"/>
      <c r="B285" s="179"/>
      <c r="C285" s="179" t="s">
        <v>93</v>
      </c>
      <c r="D285" s="375" t="s">
        <v>439</v>
      </c>
      <c r="E285" s="376"/>
      <c r="F285" s="381">
        <f>+E84*H246</f>
        <v>1.7825</v>
      </c>
      <c r="G285" s="378">
        <f>+E97</f>
        <v>1.5636390038481087</v>
      </c>
      <c r="H285" s="379">
        <f>F285*G285</f>
        <v>2.787186524359254</v>
      </c>
      <c r="I285" s="332"/>
      <c r="J285" s="179"/>
      <c r="K285" s="179"/>
    </row>
    <row r="286" spans="1:11" x14ac:dyDescent="0.2">
      <c r="A286" s="179"/>
      <c r="B286" s="179"/>
      <c r="C286" s="179" t="s">
        <v>93</v>
      </c>
      <c r="D286" s="375" t="s">
        <v>440</v>
      </c>
      <c r="E286" s="376"/>
      <c r="F286" s="381">
        <f>+E90*H246</f>
        <v>0.51300000000000001</v>
      </c>
      <c r="G286" s="378">
        <f>+E97</f>
        <v>1.5636390038481087</v>
      </c>
      <c r="H286" s="379">
        <f>F286*G286</f>
        <v>0.80214680897407975</v>
      </c>
      <c r="I286" s="332"/>
      <c r="J286" s="179"/>
      <c r="K286" s="179"/>
    </row>
    <row r="287" spans="1:11" s="179" customFormat="1" ht="13.5" thickBot="1" x14ac:dyDescent="0.25">
      <c r="A287"/>
      <c r="B287"/>
      <c r="C287"/>
      <c r="D287" s="382"/>
      <c r="E287" s="383" t="s">
        <v>364</v>
      </c>
      <c r="F287" s="384">
        <f>SUM(F283:F286)</f>
        <v>7.5632000289679668</v>
      </c>
      <c r="G287" s="383"/>
      <c r="H287" s="385">
        <f>SUM(H283:H286)</f>
        <v>10.911199493159948</v>
      </c>
      <c r="I287" s="332"/>
      <c r="J287"/>
      <c r="K287"/>
    </row>
    <row r="288" spans="1:11" s="179" customFormat="1" ht="13.5" thickTop="1" x14ac:dyDescent="0.2">
      <c r="A288"/>
      <c r="B288"/>
      <c r="C288"/>
      <c r="D288" s="303"/>
      <c r="E288" s="339"/>
      <c r="F288" s="340"/>
      <c r="G288" s="339"/>
      <c r="H288" s="340"/>
      <c r="I288" s="332"/>
      <c r="J288"/>
      <c r="K288"/>
    </row>
    <row r="289" spans="1:11" s="179" customFormat="1" ht="13.5" thickBot="1" x14ac:dyDescent="0.25">
      <c r="A289"/>
      <c r="B289"/>
      <c r="C289"/>
      <c r="D289" s="174"/>
      <c r="E289" s="212" t="s">
        <v>372</v>
      </c>
      <c r="F289" s="174"/>
      <c r="G289" s="213"/>
      <c r="H289" s="213"/>
      <c r="I289" s="332"/>
      <c r="J289"/>
      <c r="K289"/>
    </row>
    <row r="290" spans="1:11" s="179" customFormat="1" ht="13.5" thickTop="1" x14ac:dyDescent="0.2">
      <c r="A290"/>
      <c r="B290"/>
      <c r="C290"/>
      <c r="D290" s="372"/>
      <c r="E290" s="373" t="s">
        <v>358</v>
      </c>
      <c r="F290" s="373" t="s">
        <v>373</v>
      </c>
      <c r="G290" s="373" t="s">
        <v>369</v>
      </c>
      <c r="H290" s="374" t="s">
        <v>370</v>
      </c>
      <c r="I290" s="332"/>
      <c r="J290"/>
      <c r="K290"/>
    </row>
    <row r="291" spans="1:11" x14ac:dyDescent="0.2">
      <c r="D291" s="380" t="s">
        <v>441</v>
      </c>
      <c r="E291" s="376"/>
      <c r="F291" s="386">
        <f>E84</f>
        <v>8.9124999999999996</v>
      </c>
      <c r="G291" s="386">
        <f>E82</f>
        <v>0.79139784946236558</v>
      </c>
      <c r="H291" s="387">
        <f>F291*G291</f>
        <v>7.0533333333333328</v>
      </c>
      <c r="I291" s="174"/>
    </row>
    <row r="292" spans="1:11" x14ac:dyDescent="0.2">
      <c r="C292" s="17"/>
      <c r="D292" s="380" t="s">
        <v>442</v>
      </c>
      <c r="E292" s="376"/>
      <c r="F292" s="386">
        <f>E90</f>
        <v>2.5649999999999999</v>
      </c>
      <c r="G292" s="386">
        <f>E88</f>
        <v>1.8602339181286549</v>
      </c>
      <c r="H292" s="379">
        <f>F292*G292</f>
        <v>4.7714999999999996</v>
      </c>
      <c r="I292" s="174"/>
    </row>
    <row r="293" spans="1:11" x14ac:dyDescent="0.2">
      <c r="A293" s="179"/>
      <c r="B293" s="179"/>
      <c r="C293" s="212"/>
      <c r="D293" s="380" t="s">
        <v>443</v>
      </c>
      <c r="E293" s="376"/>
      <c r="F293" s="386">
        <v>0</v>
      </c>
      <c r="G293" s="386">
        <v>0</v>
      </c>
      <c r="H293" s="379">
        <v>0</v>
      </c>
      <c r="I293" s="174"/>
      <c r="J293" s="179"/>
      <c r="K293" s="179"/>
    </row>
    <row r="294" spans="1:11" x14ac:dyDescent="0.2">
      <c r="A294" s="179"/>
      <c r="B294" s="179"/>
      <c r="C294" s="179"/>
      <c r="D294" s="380" t="s">
        <v>444</v>
      </c>
      <c r="E294" s="376"/>
      <c r="F294" s="386">
        <f>+F291*H248</f>
        <v>0.71300000000000008</v>
      </c>
      <c r="G294" s="386">
        <f>+E82</f>
        <v>0.79139784946236558</v>
      </c>
      <c r="H294" s="379">
        <f>F294*G294</f>
        <v>0.56426666666666669</v>
      </c>
      <c r="I294" s="307"/>
      <c r="J294" s="179"/>
      <c r="K294" s="179"/>
    </row>
    <row r="295" spans="1:11" s="179" customFormat="1" x14ac:dyDescent="0.2">
      <c r="D295" s="380" t="s">
        <v>445</v>
      </c>
      <c r="E295" s="376"/>
      <c r="F295" s="386">
        <f>+H248*F292</f>
        <v>0.20520000000000005</v>
      </c>
      <c r="G295" s="386">
        <f>+E88</f>
        <v>1.8602339181286549</v>
      </c>
      <c r="H295" s="379">
        <f>F295*G295</f>
        <v>0.38172000000000006</v>
      </c>
      <c r="I295" s="307"/>
    </row>
    <row r="296" spans="1:11" s="179" customFormat="1" ht="13.5" thickBot="1" x14ac:dyDescent="0.25">
      <c r="A296"/>
      <c r="B296"/>
      <c r="C296"/>
      <c r="D296" s="382"/>
      <c r="E296" s="383" t="s">
        <v>364</v>
      </c>
      <c r="F296" s="384">
        <f>SUM(F291:F295)</f>
        <v>12.3957</v>
      </c>
      <c r="G296" s="383"/>
      <c r="H296" s="385">
        <f>SUM(H291:H295)</f>
        <v>12.770819999999999</v>
      </c>
      <c r="I296" s="174"/>
      <c r="J296"/>
      <c r="K296"/>
    </row>
    <row r="297" spans="1:11" s="179" customFormat="1" ht="13.5" thickTop="1" x14ac:dyDescent="0.2">
      <c r="A297"/>
      <c r="B297"/>
      <c r="C297"/>
      <c r="D297" s="303"/>
      <c r="E297" s="339"/>
      <c r="F297" s="340"/>
      <c r="G297" s="339"/>
      <c r="H297" s="340"/>
      <c r="I297" s="174"/>
      <c r="J297"/>
      <c r="K297"/>
    </row>
    <row r="298" spans="1:11" s="179" customFormat="1" x14ac:dyDescent="0.2">
      <c r="A298"/>
      <c r="B298"/>
      <c r="C298"/>
      <c r="D298" s="174"/>
      <c r="E298" s="174"/>
      <c r="F298" s="174"/>
      <c r="G298" s="213"/>
      <c r="H298" s="213"/>
      <c r="I298" s="213"/>
      <c r="J298"/>
      <c r="K298"/>
    </row>
    <row r="299" spans="1:11" s="179" customFormat="1" ht="15.75" x14ac:dyDescent="0.25">
      <c r="A299" s="172"/>
      <c r="B299" s="289" t="s">
        <v>446</v>
      </c>
      <c r="C299"/>
      <c r="D299"/>
      <c r="E299"/>
      <c r="F299"/>
      <c r="G299"/>
      <c r="H299"/>
      <c r="I299"/>
      <c r="J299"/>
      <c r="K299"/>
    </row>
    <row r="300" spans="1:11" s="179" customFormat="1" ht="15.75" x14ac:dyDescent="0.25">
      <c r="A300" s="388"/>
      <c r="B300" s="389" t="s">
        <v>377</v>
      </c>
    </row>
    <row r="301" spans="1:11" x14ac:dyDescent="0.2">
      <c r="A301" s="179"/>
      <c r="B301" s="212" t="s">
        <v>447</v>
      </c>
      <c r="C301" s="179"/>
      <c r="D301" s="179"/>
      <c r="E301" s="179"/>
      <c r="F301" s="179"/>
      <c r="G301" s="354"/>
      <c r="H301" s="354"/>
      <c r="I301" s="332"/>
      <c r="J301" s="179"/>
      <c r="K301" s="179"/>
    </row>
    <row r="302" spans="1:11" s="179" customFormat="1" x14ac:dyDescent="0.2">
      <c r="A302" s="390"/>
      <c r="B302" s="351"/>
      <c r="C302" s="351"/>
      <c r="D302" s="351"/>
      <c r="E302" s="351"/>
      <c r="F302" s="351"/>
      <c r="G302" s="351"/>
      <c r="H302" s="351"/>
      <c r="I302" s="348"/>
      <c r="J302" s="391"/>
    </row>
    <row r="303" spans="1:11" s="179" customFormat="1" ht="15.75" x14ac:dyDescent="0.25">
      <c r="A303" s="388"/>
      <c r="B303" s="389"/>
    </row>
    <row r="304" spans="1:11" s="179" customFormat="1" ht="13.5" thickBot="1" x14ac:dyDescent="0.25">
      <c r="C304" s="212" t="s">
        <v>448</v>
      </c>
      <c r="H304" s="354"/>
      <c r="I304" s="332"/>
    </row>
    <row r="305" spans="1:10" s="179" customFormat="1" ht="13.5" thickTop="1" x14ac:dyDescent="0.2">
      <c r="B305" s="392" t="s">
        <v>379</v>
      </c>
      <c r="C305" s="393" t="s">
        <v>380</v>
      </c>
      <c r="D305" s="393" t="s">
        <v>381</v>
      </c>
      <c r="E305" s="393" t="s">
        <v>449</v>
      </c>
      <c r="F305" s="393" t="s">
        <v>450</v>
      </c>
      <c r="G305" s="393" t="s">
        <v>450</v>
      </c>
      <c r="H305" s="394" t="s">
        <v>451</v>
      </c>
    </row>
    <row r="306" spans="1:10" s="179" customFormat="1" x14ac:dyDescent="0.2">
      <c r="B306" s="395" t="s">
        <v>383</v>
      </c>
      <c r="C306" s="396" t="s">
        <v>179</v>
      </c>
      <c r="D306" s="396" t="s">
        <v>40</v>
      </c>
      <c r="E306" s="396" t="s">
        <v>28</v>
      </c>
      <c r="F306" s="396" t="s">
        <v>93</v>
      </c>
      <c r="G306" s="396" t="s">
        <v>93</v>
      </c>
      <c r="H306" s="397" t="s">
        <v>384</v>
      </c>
    </row>
    <row r="307" spans="1:10" s="179" customFormat="1" ht="13.5" thickBot="1" x14ac:dyDescent="0.25">
      <c r="B307" s="398" t="s">
        <v>452</v>
      </c>
      <c r="C307" s="399">
        <f>H291</f>
        <v>7.0533333333333328</v>
      </c>
      <c r="D307" s="400">
        <f>H292</f>
        <v>4.7714999999999996</v>
      </c>
      <c r="E307" s="400">
        <f>+H293</f>
        <v>0</v>
      </c>
      <c r="F307" s="400">
        <f>H294</f>
        <v>0.56426666666666669</v>
      </c>
      <c r="G307" s="400">
        <f>+H295</f>
        <v>0.38172000000000006</v>
      </c>
      <c r="H307" s="401" t="s">
        <v>386</v>
      </c>
    </row>
    <row r="308" spans="1:10" s="179" customFormat="1" ht="13.5" thickBot="1" x14ac:dyDescent="0.25">
      <c r="B308" s="402" t="str">
        <f>B30</f>
        <v>Evento Extrem I</v>
      </c>
      <c r="C308" s="403">
        <f>ROUND(C$307*LOOKUP(C$306,$C$26:$G$26,$C$30:$G$30),2)</f>
        <v>8.82</v>
      </c>
      <c r="D308" s="403">
        <f>ROUND(D$307*LOOKUP(D$306,$C$26:$G$26,$C$30:$G$30),2)</f>
        <v>6.44</v>
      </c>
      <c r="E308" s="404">
        <f>E307*0.5</f>
        <v>0</v>
      </c>
      <c r="F308" s="404">
        <f>ROUND(F$307*LOOKUP(F$306,$G$26,$G$30),2)</f>
        <v>0.56000000000000005</v>
      </c>
      <c r="G308" s="404">
        <f>ROUND(G$307*LOOKUP(G$306,$G$26,$G$30),2)</f>
        <v>0.38</v>
      </c>
      <c r="H308" s="405">
        <f>0.95*SUM(C308:G308)</f>
        <v>15.390000000000002</v>
      </c>
    </row>
    <row r="309" spans="1:10" s="179" customFormat="1" ht="13.5" thickTop="1" x14ac:dyDescent="0.2">
      <c r="G309" s="354"/>
      <c r="H309" s="354"/>
      <c r="I309" s="213"/>
    </row>
    <row r="310" spans="1:10" s="179" customFormat="1" ht="15.75" x14ac:dyDescent="0.25">
      <c r="A310" s="388"/>
      <c r="B310" s="389" t="s">
        <v>390</v>
      </c>
    </row>
    <row r="311" spans="1:10" s="179" customFormat="1" x14ac:dyDescent="0.2">
      <c r="B311" s="212" t="s">
        <v>453</v>
      </c>
      <c r="G311" s="354"/>
      <c r="H311" s="354"/>
    </row>
    <row r="312" spans="1:10" s="179" customFormat="1" x14ac:dyDescent="0.2">
      <c r="A312" s="390"/>
      <c r="B312" s="351"/>
      <c r="C312" s="351"/>
      <c r="D312" s="351"/>
      <c r="E312" s="351"/>
      <c r="F312" s="351"/>
      <c r="G312" s="351"/>
      <c r="H312" s="351"/>
      <c r="J312" s="391"/>
    </row>
    <row r="313" spans="1:10" s="179" customFormat="1" ht="15.75" x14ac:dyDescent="0.25">
      <c r="A313" s="388"/>
      <c r="B313" s="389"/>
    </row>
    <row r="314" spans="1:10" s="179" customFormat="1" ht="13.5" thickBot="1" x14ac:dyDescent="0.25">
      <c r="C314" s="212" t="s">
        <v>454</v>
      </c>
      <c r="H314" s="354"/>
    </row>
    <row r="315" spans="1:10" s="179" customFormat="1" ht="13.5" thickTop="1" x14ac:dyDescent="0.2">
      <c r="B315" s="392" t="s">
        <v>379</v>
      </c>
      <c r="C315" s="393" t="s">
        <v>380</v>
      </c>
      <c r="D315" s="393" t="s">
        <v>450</v>
      </c>
      <c r="E315" s="393" t="s">
        <v>450</v>
      </c>
      <c r="F315" s="393" t="s">
        <v>450</v>
      </c>
      <c r="G315" s="394" t="s">
        <v>382</v>
      </c>
    </row>
    <row r="316" spans="1:10" s="179" customFormat="1" x14ac:dyDescent="0.2">
      <c r="B316" s="395" t="s">
        <v>383</v>
      </c>
      <c r="C316" s="396" t="s">
        <v>41</v>
      </c>
      <c r="D316" s="396" t="s">
        <v>93</v>
      </c>
      <c r="E316" s="396" t="s">
        <v>93</v>
      </c>
      <c r="F316" s="396" t="s">
        <v>93</v>
      </c>
      <c r="G316" s="397" t="s">
        <v>384</v>
      </c>
    </row>
    <row r="317" spans="1:10" s="179" customFormat="1" ht="13.5" thickBot="1" x14ac:dyDescent="0.25">
      <c r="B317" s="398" t="s">
        <v>452</v>
      </c>
      <c r="C317" s="400">
        <f>H283</f>
        <v>2.6999923653946567</v>
      </c>
      <c r="D317" s="400">
        <f>+H284</f>
        <v>4.6218737944319583</v>
      </c>
      <c r="E317" s="400">
        <f>+H285</f>
        <v>2.787186524359254</v>
      </c>
      <c r="F317" s="400">
        <f>+H286</f>
        <v>0.80214680897407975</v>
      </c>
      <c r="G317" s="406" t="s">
        <v>399</v>
      </c>
    </row>
    <row r="318" spans="1:10" s="179" customFormat="1" ht="13.5" thickBot="1" x14ac:dyDescent="0.25">
      <c r="B318" s="402" t="str">
        <f>B30</f>
        <v>Evento Extrem I</v>
      </c>
      <c r="C318" s="404">
        <f>ROUND(C$317*LOOKUP(C$316,$C$26:$G$26,$C$30:$G$30),2)</f>
        <v>4.05</v>
      </c>
      <c r="D318" s="404">
        <f>ROUND(D$317*LOOKUP(D$316,$G$26,$G$30),2)</f>
        <v>4.62</v>
      </c>
      <c r="E318" s="404">
        <f>ROUND(E$317*LOOKUP(E$316,$G$26,$G$30),2)</f>
        <v>2.79</v>
      </c>
      <c r="F318" s="404">
        <f>ROUND(F$317*LOOKUP(F$316,$G$26,$G$30),2)</f>
        <v>0.8</v>
      </c>
      <c r="G318" s="407">
        <f>SUM(C318:F318)</f>
        <v>12.260000000000002</v>
      </c>
    </row>
    <row r="319" spans="1:10" s="179" customFormat="1" ht="13.5" thickTop="1" x14ac:dyDescent="0.2">
      <c r="G319" s="354"/>
      <c r="H319" s="354"/>
      <c r="I319" s="213"/>
    </row>
    <row r="320" spans="1:10" s="179" customFormat="1" x14ac:dyDescent="0.2">
      <c r="G320" s="354"/>
      <c r="H320" s="354"/>
      <c r="I320" s="213"/>
    </row>
    <row r="321" spans="1:11" s="179" customFormat="1" x14ac:dyDescent="0.2">
      <c r="G321" s="354"/>
      <c r="H321" s="354"/>
      <c r="I321" s="213"/>
    </row>
    <row r="322" spans="1:11" s="179" customFormat="1" ht="15.75" x14ac:dyDescent="0.25">
      <c r="B322" s="173" t="s">
        <v>455</v>
      </c>
      <c r="C322"/>
      <c r="D322"/>
      <c r="E322"/>
      <c r="F322"/>
      <c r="G322" s="281"/>
      <c r="H322" s="281"/>
      <c r="I322" s="321"/>
      <c r="J322"/>
      <c r="K322"/>
    </row>
    <row r="323" spans="1:11" s="179" customFormat="1" x14ac:dyDescent="0.2">
      <c r="A323" s="181"/>
      <c r="B323"/>
      <c r="C323"/>
      <c r="D323"/>
      <c r="E323"/>
      <c r="F323"/>
      <c r="G323" s="281"/>
      <c r="H323" s="281"/>
      <c r="I323" s="321"/>
      <c r="J323"/>
      <c r="K323"/>
    </row>
    <row r="324" spans="1:11" s="179" customFormat="1" ht="13.5" thickBot="1" x14ac:dyDescent="0.25">
      <c r="A324" s="181"/>
      <c r="B324" s="408" t="s">
        <v>456</v>
      </c>
      <c r="C324" s="408"/>
      <c r="D324" s="408"/>
      <c r="E324"/>
      <c r="F324"/>
      <c r="G324" s="281"/>
      <c r="H324" s="281"/>
      <c r="I324" s="321"/>
      <c r="J324"/>
      <c r="K324"/>
    </row>
    <row r="325" spans="1:11" s="179" customFormat="1" ht="14.25" thickTop="1" thickBot="1" x14ac:dyDescent="0.25">
      <c r="A325" s="181"/>
      <c r="B325" s="409" t="s">
        <v>379</v>
      </c>
      <c r="C325" s="410" t="s">
        <v>380</v>
      </c>
      <c r="D325" s="410" t="s">
        <v>381</v>
      </c>
      <c r="E325" s="410" t="s">
        <v>449</v>
      </c>
      <c r="F325" s="410" t="s">
        <v>450</v>
      </c>
      <c r="G325" s="411" t="s">
        <v>450</v>
      </c>
      <c r="H325" s="411" t="s">
        <v>451</v>
      </c>
      <c r="I325" s="321"/>
      <c r="J325"/>
      <c r="K325"/>
    </row>
    <row r="326" spans="1:11" s="179" customFormat="1" ht="14.25" thickTop="1" thickBot="1" x14ac:dyDescent="0.25">
      <c r="A326" s="181"/>
      <c r="B326" s="409" t="s">
        <v>383</v>
      </c>
      <c r="C326" s="410" t="s">
        <v>179</v>
      </c>
      <c r="D326" s="410" t="s">
        <v>40</v>
      </c>
      <c r="E326" s="410" t="s">
        <v>28</v>
      </c>
      <c r="F326" s="410" t="s">
        <v>93</v>
      </c>
      <c r="G326" s="411" t="s">
        <v>93</v>
      </c>
      <c r="H326" s="411" t="s">
        <v>384</v>
      </c>
      <c r="I326" s="321"/>
      <c r="J326"/>
      <c r="K326"/>
    </row>
    <row r="327" spans="1:11" s="179" customFormat="1" ht="14.25" thickTop="1" thickBot="1" x14ac:dyDescent="0.25">
      <c r="A327" s="181"/>
      <c r="B327" s="409" t="s">
        <v>385</v>
      </c>
      <c r="C327" s="412">
        <f>F291</f>
        <v>8.9124999999999996</v>
      </c>
      <c r="D327" s="412">
        <f>F292</f>
        <v>2.5649999999999999</v>
      </c>
      <c r="E327" s="412">
        <f>F293</f>
        <v>0</v>
      </c>
      <c r="F327" s="412">
        <f>F294</f>
        <v>0.71300000000000008</v>
      </c>
      <c r="G327" s="412">
        <f>F295</f>
        <v>0.20520000000000005</v>
      </c>
      <c r="H327" s="413"/>
      <c r="I327" s="321"/>
      <c r="J327"/>
      <c r="K327"/>
    </row>
    <row r="328" spans="1:11" s="179" customFormat="1" ht="14.25" thickTop="1" thickBot="1" x14ac:dyDescent="0.25">
      <c r="A328" s="181"/>
      <c r="B328" s="414" t="s">
        <v>457</v>
      </c>
      <c r="C328" s="412">
        <f>C327</f>
        <v>8.9124999999999996</v>
      </c>
      <c r="D328" s="412">
        <f>D327</f>
        <v>2.5649999999999999</v>
      </c>
      <c r="E328" s="412">
        <f>E327</f>
        <v>0</v>
      </c>
      <c r="F328" s="412">
        <v>0</v>
      </c>
      <c r="G328" s="412">
        <v>0</v>
      </c>
      <c r="H328" s="415">
        <f>0.95*SUM(C328:G328)</f>
        <v>10.903624999999998</v>
      </c>
      <c r="I328" s="321"/>
      <c r="J328"/>
      <c r="K328"/>
    </row>
    <row r="329" spans="1:11" s="179" customFormat="1" ht="14.25" thickTop="1" thickBot="1" x14ac:dyDescent="0.25">
      <c r="A329" s="181"/>
      <c r="B329" s="414" t="s">
        <v>458</v>
      </c>
      <c r="C329" s="412">
        <f>C328*1.25</f>
        <v>11.140625</v>
      </c>
      <c r="D329" s="412">
        <f>D328*1.35</f>
        <v>3.4627500000000002</v>
      </c>
      <c r="E329" s="412">
        <f>E328*1.75</f>
        <v>0</v>
      </c>
      <c r="F329" s="412">
        <v>0</v>
      </c>
      <c r="G329" s="412">
        <v>0</v>
      </c>
      <c r="H329" s="415">
        <f>0.95*SUM(C329:G329)</f>
        <v>13.873206249999999</v>
      </c>
      <c r="I329" s="321"/>
      <c r="J329"/>
      <c r="K329"/>
    </row>
    <row r="330" spans="1:11" s="179" customFormat="1" ht="14.25" thickTop="1" thickBot="1" x14ac:dyDescent="0.25">
      <c r="A330" s="181"/>
      <c r="B330" s="414" t="s">
        <v>459</v>
      </c>
      <c r="C330" s="412">
        <f>C329</f>
        <v>11.140625</v>
      </c>
      <c r="D330" s="412">
        <f>D329</f>
        <v>3.4627500000000002</v>
      </c>
      <c r="E330" s="412">
        <f>E328*0.5</f>
        <v>0</v>
      </c>
      <c r="F330" s="412">
        <f>F327</f>
        <v>0.71300000000000008</v>
      </c>
      <c r="G330" s="412">
        <f>G327</f>
        <v>0.20520000000000005</v>
      </c>
      <c r="H330" s="415">
        <f>0.95*SUM(C330:G330)</f>
        <v>14.74549625</v>
      </c>
      <c r="I330" s="321"/>
      <c r="J330"/>
      <c r="K330"/>
    </row>
    <row r="331" spans="1:11" s="179" customFormat="1" ht="13.5" thickTop="1" x14ac:dyDescent="0.2">
      <c r="A331" s="181"/>
      <c r="B331"/>
      <c r="C331"/>
      <c r="D331"/>
      <c r="E331"/>
      <c r="F331"/>
      <c r="G331" s="281"/>
      <c r="H331" s="281"/>
      <c r="I331" s="321"/>
      <c r="J331"/>
      <c r="K331"/>
    </row>
    <row r="332" spans="1:11" s="179" customFormat="1" ht="13.5" thickBot="1" x14ac:dyDescent="0.25">
      <c r="A332" s="181"/>
      <c r="B332" s="285" t="s">
        <v>460</v>
      </c>
      <c r="C332"/>
      <c r="D332"/>
      <c r="E332"/>
      <c r="F332"/>
      <c r="G332" s="281"/>
      <c r="H332" s="416" t="s">
        <v>461</v>
      </c>
      <c r="I332" s="321"/>
      <c r="J332"/>
      <c r="K332"/>
    </row>
    <row r="333" spans="1:11" s="179" customFormat="1" ht="14.25" thickTop="1" thickBot="1" x14ac:dyDescent="0.25">
      <c r="A333" s="181"/>
      <c r="B333" s="409" t="s">
        <v>452</v>
      </c>
      <c r="C333" s="412">
        <f>H291</f>
        <v>7.0533333333333328</v>
      </c>
      <c r="D333" s="412">
        <f>H292</f>
        <v>4.7714999999999996</v>
      </c>
      <c r="E333" s="412">
        <f>H293</f>
        <v>0</v>
      </c>
      <c r="F333" s="412">
        <f>H294</f>
        <v>0.56426666666666669</v>
      </c>
      <c r="G333" s="412">
        <f>H295</f>
        <v>0.38172000000000006</v>
      </c>
      <c r="H333" s="413"/>
      <c r="I333" s="321"/>
      <c r="J333"/>
      <c r="K333"/>
    </row>
    <row r="334" spans="1:11" s="179" customFormat="1" ht="14.25" thickTop="1" thickBot="1" x14ac:dyDescent="0.25">
      <c r="A334" s="181"/>
      <c r="B334" s="409" t="s">
        <v>457</v>
      </c>
      <c r="C334" s="412">
        <f>C333</f>
        <v>7.0533333333333328</v>
      </c>
      <c r="D334" s="412">
        <f>D333</f>
        <v>4.7714999999999996</v>
      </c>
      <c r="E334" s="412">
        <f>E333</f>
        <v>0</v>
      </c>
      <c r="F334" s="412">
        <v>0</v>
      </c>
      <c r="G334" s="412">
        <v>0</v>
      </c>
      <c r="H334" s="417">
        <f>0.95*SUM(C334:G334)</f>
        <v>11.233591666666666</v>
      </c>
      <c r="I334" s="321"/>
      <c r="J334"/>
      <c r="K334"/>
    </row>
    <row r="335" spans="1:11" s="179" customFormat="1" ht="14.25" thickTop="1" thickBot="1" x14ac:dyDescent="0.25">
      <c r="A335" s="181"/>
      <c r="B335" s="409" t="s">
        <v>458</v>
      </c>
      <c r="C335" s="412">
        <f>C334*1.25</f>
        <v>8.8166666666666664</v>
      </c>
      <c r="D335" s="412">
        <f>D334*1.35</f>
        <v>6.4415249999999995</v>
      </c>
      <c r="E335" s="412">
        <f>E334*1.75</f>
        <v>0</v>
      </c>
      <c r="F335" s="412">
        <v>0</v>
      </c>
      <c r="G335" s="412">
        <v>0</v>
      </c>
      <c r="H335" s="417">
        <f>0.95*SUM(C335:G335)</f>
        <v>14.495282083333331</v>
      </c>
      <c r="I335" s="321"/>
      <c r="J335"/>
      <c r="K335"/>
    </row>
    <row r="336" spans="1:11" s="179" customFormat="1" ht="14.25" thickTop="1" thickBot="1" x14ac:dyDescent="0.25">
      <c r="A336" s="181"/>
      <c r="B336" s="414" t="s">
        <v>459</v>
      </c>
      <c r="C336" s="412">
        <f>C335</f>
        <v>8.8166666666666664</v>
      </c>
      <c r="D336" s="412">
        <f>D335</f>
        <v>6.4415249999999995</v>
      </c>
      <c r="E336" s="412">
        <f>E334*0.5</f>
        <v>0</v>
      </c>
      <c r="F336" s="412">
        <f>F333</f>
        <v>0.56426666666666669</v>
      </c>
      <c r="G336" s="412">
        <f>G333</f>
        <v>0.38172000000000006</v>
      </c>
      <c r="H336" s="417">
        <f>0.95*SUM(C336:G336)</f>
        <v>15.393969416666664</v>
      </c>
      <c r="I336" s="321"/>
      <c r="J336"/>
      <c r="K336"/>
    </row>
    <row r="337" spans="1:11" s="179" customFormat="1" ht="13.5" thickTop="1" x14ac:dyDescent="0.2">
      <c r="A337" s="181"/>
      <c r="B337"/>
      <c r="C337"/>
      <c r="D337"/>
      <c r="E337"/>
      <c r="F337"/>
      <c r="G337" s="281"/>
      <c r="H337" s="281"/>
      <c r="I337" s="321"/>
      <c r="J337"/>
      <c r="K337"/>
    </row>
    <row r="338" spans="1:11" s="179" customFormat="1" x14ac:dyDescent="0.2">
      <c r="A338" s="181"/>
      <c r="B338"/>
      <c r="C338"/>
      <c r="D338"/>
      <c r="E338"/>
      <c r="F338"/>
      <c r="G338" s="281"/>
      <c r="H338" s="281"/>
      <c r="I338" s="321"/>
      <c r="J338"/>
      <c r="K338"/>
    </row>
    <row r="339" spans="1:11" s="179" customFormat="1" x14ac:dyDescent="0.2">
      <c r="A339" s="181"/>
      <c r="B339"/>
      <c r="C339"/>
      <c r="D339"/>
      <c r="E339"/>
      <c r="F339"/>
      <c r="G339" s="281"/>
      <c r="H339" s="281"/>
      <c r="I339"/>
      <c r="J339"/>
      <c r="K339"/>
    </row>
    <row r="340" spans="1:11" s="179" customFormat="1" x14ac:dyDescent="0.2">
      <c r="A340" s="181"/>
      <c r="B340"/>
      <c r="C340"/>
      <c r="D340"/>
      <c r="E340"/>
      <c r="F340"/>
      <c r="G340" s="281"/>
      <c r="H340" s="281"/>
      <c r="I340"/>
      <c r="J340"/>
      <c r="K340"/>
    </row>
    <row r="341" spans="1:11" s="179" customFormat="1" x14ac:dyDescent="0.2">
      <c r="A341" s="181"/>
      <c r="B341"/>
      <c r="C341"/>
      <c r="D341"/>
      <c r="E341"/>
      <c r="F341"/>
      <c r="G341" s="281"/>
      <c r="H341" s="281"/>
      <c r="I341"/>
      <c r="J341"/>
      <c r="K341"/>
    </row>
    <row r="342" spans="1:11" s="179" customFormat="1" ht="13.5" thickBot="1" x14ac:dyDescent="0.25">
      <c r="A342" s="181"/>
      <c r="B342" s="408" t="s">
        <v>462</v>
      </c>
      <c r="C342"/>
      <c r="D342"/>
      <c r="E342"/>
      <c r="F342"/>
      <c r="G342" s="281"/>
      <c r="H342" s="281"/>
      <c r="I342"/>
      <c r="J342"/>
      <c r="K342"/>
    </row>
    <row r="343" spans="1:11" s="179" customFormat="1" ht="14.25" thickTop="1" thickBot="1" x14ac:dyDescent="0.25">
      <c r="A343" s="181"/>
      <c r="B343" s="409" t="s">
        <v>379</v>
      </c>
      <c r="C343" s="410" t="s">
        <v>463</v>
      </c>
      <c r="D343" s="410" t="s">
        <v>464</v>
      </c>
      <c r="E343" s="410" t="s">
        <v>450</v>
      </c>
      <c r="F343" s="410" t="s">
        <v>450</v>
      </c>
      <c r="G343" s="411" t="s">
        <v>451</v>
      </c>
      <c r="H343" s="321"/>
      <c r="I343"/>
      <c r="J343"/>
    </row>
    <row r="344" spans="1:11" s="179" customFormat="1" ht="14.25" thickTop="1" thickBot="1" x14ac:dyDescent="0.25">
      <c r="A344" s="181"/>
      <c r="B344" s="409" t="s">
        <v>383</v>
      </c>
      <c r="C344" s="410" t="s">
        <v>41</v>
      </c>
      <c r="D344" s="410" t="s">
        <v>93</v>
      </c>
      <c r="E344" s="410" t="s">
        <v>93</v>
      </c>
      <c r="F344" s="410" t="s">
        <v>93</v>
      </c>
      <c r="G344" s="411" t="s">
        <v>384</v>
      </c>
      <c r="H344" s="321"/>
      <c r="I344"/>
      <c r="J344"/>
    </row>
    <row r="345" spans="1:11" s="179" customFormat="1" ht="14.25" thickTop="1" thickBot="1" x14ac:dyDescent="0.25">
      <c r="A345" s="181"/>
      <c r="B345" s="409" t="s">
        <v>385</v>
      </c>
      <c r="C345" s="412">
        <f>F283</f>
        <v>2.6999923653946567</v>
      </c>
      <c r="D345" s="412">
        <f>F284</f>
        <v>2.5677076635733105</v>
      </c>
      <c r="E345" s="412">
        <f>F285</f>
        <v>1.7825</v>
      </c>
      <c r="F345" s="412">
        <f>F286</f>
        <v>0.51300000000000001</v>
      </c>
      <c r="G345" s="418"/>
      <c r="H345" s="321"/>
      <c r="I345"/>
      <c r="J345"/>
    </row>
    <row r="346" spans="1:11" s="179" customFormat="1" ht="14.25" thickTop="1" thickBot="1" x14ac:dyDescent="0.25">
      <c r="A346" s="181"/>
      <c r="B346" s="414" t="s">
        <v>457</v>
      </c>
      <c r="C346" s="412">
        <f>C345</f>
        <v>2.6999923653946567</v>
      </c>
      <c r="D346" s="412">
        <v>0</v>
      </c>
      <c r="E346" s="412">
        <v>0</v>
      </c>
      <c r="F346" s="412">
        <v>0</v>
      </c>
      <c r="G346" s="415">
        <f>SUM(C346:F346)</f>
        <v>2.6999923653946567</v>
      </c>
      <c r="H346" s="321"/>
      <c r="I346" s="321"/>
      <c r="J346"/>
    </row>
    <row r="347" spans="1:11" s="179" customFormat="1" ht="14.25" thickTop="1" thickBot="1" x14ac:dyDescent="0.25">
      <c r="A347" s="181"/>
      <c r="B347" s="414" t="s">
        <v>458</v>
      </c>
      <c r="C347" s="412">
        <f>C346*1.5</f>
        <v>4.0499885480919851</v>
      </c>
      <c r="D347" s="412">
        <v>0</v>
      </c>
      <c r="E347" s="412">
        <v>0</v>
      </c>
      <c r="F347" s="412">
        <v>0</v>
      </c>
      <c r="G347" s="415">
        <f>SUM(C347:F347)</f>
        <v>4.0499885480919851</v>
      </c>
      <c r="H347" s="321"/>
      <c r="I347"/>
      <c r="J347"/>
    </row>
    <row r="348" spans="1:11" s="179" customFormat="1" ht="14.25" thickTop="1" thickBot="1" x14ac:dyDescent="0.25">
      <c r="A348" s="181"/>
      <c r="B348" s="414" t="s">
        <v>459</v>
      </c>
      <c r="C348" s="412">
        <f>C347</f>
        <v>4.0499885480919851</v>
      </c>
      <c r="D348" s="412">
        <f>D345</f>
        <v>2.5677076635733105</v>
      </c>
      <c r="E348" s="412">
        <f>E345</f>
        <v>1.7825</v>
      </c>
      <c r="F348" s="412">
        <f>F345</f>
        <v>0.51300000000000001</v>
      </c>
      <c r="G348" s="415">
        <f>SUM(G346:G347)</f>
        <v>6.7499809134866418</v>
      </c>
      <c r="H348" s="321"/>
      <c r="I348"/>
      <c r="J348"/>
    </row>
    <row r="349" spans="1:11" s="179" customFormat="1" ht="13.5" thickTop="1" x14ac:dyDescent="0.2">
      <c r="A349" s="181"/>
      <c r="B349"/>
      <c r="C349"/>
      <c r="D349"/>
      <c r="E349"/>
      <c r="F349" s="281"/>
      <c r="G349" s="281"/>
      <c r="H349" s="321"/>
      <c r="I349"/>
      <c r="J349"/>
    </row>
    <row r="350" spans="1:11" s="179" customFormat="1" ht="13.5" thickBot="1" x14ac:dyDescent="0.25">
      <c r="A350" s="181"/>
      <c r="B350" s="285" t="s">
        <v>465</v>
      </c>
      <c r="C350"/>
      <c r="D350"/>
      <c r="E350"/>
      <c r="F350" s="419"/>
      <c r="G350" s="419" t="s">
        <v>461</v>
      </c>
      <c r="H350" s="321"/>
      <c r="I350"/>
      <c r="J350"/>
    </row>
    <row r="351" spans="1:11" s="179" customFormat="1" ht="14.25" thickTop="1" thickBot="1" x14ac:dyDescent="0.25">
      <c r="A351" s="181"/>
      <c r="B351" s="409" t="s">
        <v>452</v>
      </c>
      <c r="C351" s="412">
        <f>H283</f>
        <v>2.6999923653946567</v>
      </c>
      <c r="D351" s="412">
        <f>H284</f>
        <v>4.6218737944319583</v>
      </c>
      <c r="E351" s="412">
        <f>H285</f>
        <v>2.787186524359254</v>
      </c>
      <c r="F351" s="412">
        <f>H286</f>
        <v>0.80214680897407975</v>
      </c>
      <c r="G351" s="413"/>
      <c r="H351" s="321"/>
      <c r="I351"/>
      <c r="J351"/>
    </row>
    <row r="352" spans="1:11" s="179" customFormat="1" ht="14.25" thickTop="1" thickBot="1" x14ac:dyDescent="0.25">
      <c r="A352" s="181"/>
      <c r="B352" s="409" t="s">
        <v>457</v>
      </c>
      <c r="C352" s="412">
        <f>C351</f>
        <v>2.6999923653946567</v>
      </c>
      <c r="D352" s="412">
        <v>0</v>
      </c>
      <c r="E352" s="412">
        <v>0</v>
      </c>
      <c r="F352" s="412">
        <v>0</v>
      </c>
      <c r="G352" s="417">
        <f>SUM(C352:F352)</f>
        <v>2.6999923653946567</v>
      </c>
      <c r="H352" s="321"/>
      <c r="I352"/>
      <c r="J352"/>
    </row>
    <row r="353" spans="1:12" s="179" customFormat="1" ht="14.25" thickTop="1" thickBot="1" x14ac:dyDescent="0.25">
      <c r="A353" s="181"/>
      <c r="B353" s="409" t="s">
        <v>458</v>
      </c>
      <c r="C353" s="412">
        <f>C352*1.5</f>
        <v>4.0499885480919851</v>
      </c>
      <c r="D353" s="412">
        <v>0</v>
      </c>
      <c r="E353" s="412">
        <v>0</v>
      </c>
      <c r="F353" s="412">
        <v>0</v>
      </c>
      <c r="G353" s="417">
        <f>SUM(C353:F353)</f>
        <v>4.0499885480919851</v>
      </c>
      <c r="H353" s="321"/>
      <c r="I353"/>
      <c r="J353"/>
    </row>
    <row r="354" spans="1:12" s="179" customFormat="1" ht="14.25" thickTop="1" thickBot="1" x14ac:dyDescent="0.25">
      <c r="A354" s="181"/>
      <c r="B354" s="414" t="s">
        <v>459</v>
      </c>
      <c r="C354" s="412">
        <f>C353</f>
        <v>4.0499885480919851</v>
      </c>
      <c r="D354" s="412">
        <f>D351</f>
        <v>4.6218737944319583</v>
      </c>
      <c r="E354" s="412">
        <f>E351</f>
        <v>2.787186524359254</v>
      </c>
      <c r="F354" s="412">
        <f>F351</f>
        <v>0.80214680897407975</v>
      </c>
      <c r="G354" s="417">
        <f>SUM(C354:F354)</f>
        <v>12.261195675857277</v>
      </c>
      <c r="H354" s="321"/>
      <c r="I354"/>
      <c r="J354"/>
    </row>
    <row r="355" spans="1:12" s="179" customFormat="1" ht="13.5" thickTop="1" x14ac:dyDescent="0.2">
      <c r="A355" s="181"/>
      <c r="B355"/>
      <c r="C355"/>
      <c r="D355"/>
      <c r="E355"/>
      <c r="F355"/>
      <c r="G355" s="281"/>
      <c r="H355" s="281"/>
      <c r="I355" s="321"/>
      <c r="J355"/>
      <c r="K355"/>
    </row>
    <row r="356" spans="1:12" s="179" customFormat="1" x14ac:dyDescent="0.2">
      <c r="A356" s="181"/>
      <c r="B356"/>
      <c r="C356"/>
      <c r="D356"/>
      <c r="E356"/>
      <c r="F356"/>
      <c r="G356" s="281"/>
      <c r="H356" s="281"/>
      <c r="I356" s="321"/>
      <c r="J356"/>
      <c r="K356"/>
    </row>
    <row r="357" spans="1:12" s="179" customFormat="1" x14ac:dyDescent="0.2">
      <c r="A357" s="181"/>
      <c r="B357"/>
      <c r="C357"/>
      <c r="D357"/>
      <c r="E357"/>
      <c r="F357"/>
      <c r="G357" s="281"/>
      <c r="H357" s="281"/>
      <c r="I357" s="321"/>
      <c r="J357"/>
      <c r="K357"/>
    </row>
    <row r="358" spans="1:12" s="179" customFormat="1" x14ac:dyDescent="0.2">
      <c r="A358" s="181"/>
      <c r="B358"/>
      <c r="C358"/>
      <c r="D358"/>
      <c r="E358"/>
      <c r="F358"/>
      <c r="G358" s="281"/>
      <c r="H358" s="281"/>
      <c r="I358" s="321"/>
      <c r="J358"/>
      <c r="K358"/>
    </row>
    <row r="359" spans="1:12" s="179" customFormat="1" x14ac:dyDescent="0.2">
      <c r="A359" s="181"/>
      <c r="B359"/>
      <c r="C359"/>
      <c r="D359"/>
      <c r="E359"/>
      <c r="F359"/>
      <c r="G359" s="281"/>
      <c r="H359" s="281"/>
      <c r="I359" s="321"/>
      <c r="J359"/>
      <c r="K359"/>
    </row>
    <row r="360" spans="1:12" s="179" customFormat="1" ht="15.75" x14ac:dyDescent="0.25">
      <c r="A360" s="353" t="s">
        <v>466</v>
      </c>
      <c r="B360" s="173" t="s">
        <v>467</v>
      </c>
      <c r="C360" s="181"/>
      <c r="D360" s="181"/>
      <c r="E360" s="181"/>
      <c r="F360" s="181"/>
      <c r="G360" s="181"/>
      <c r="H360" s="181"/>
      <c r="I360" s="181"/>
      <c r="J360" s="181"/>
      <c r="K360" s="181"/>
    </row>
    <row r="361" spans="1:12" s="179" customFormat="1" x14ac:dyDescent="0.2">
      <c r="A361" s="181"/>
      <c r="B361" s="181"/>
      <c r="C361" s="181"/>
      <c r="D361" s="181"/>
      <c r="E361" s="181"/>
      <c r="F361" s="181"/>
      <c r="G361" s="181"/>
      <c r="H361" s="181"/>
      <c r="I361" s="181"/>
      <c r="J361" s="181"/>
      <c r="K361" s="181"/>
    </row>
    <row r="362" spans="1:12" s="179" customFormat="1" ht="15.75" x14ac:dyDescent="0.25">
      <c r="A362" s="420" t="s">
        <v>468</v>
      </c>
      <c r="B362" s="421"/>
      <c r="C362" s="422" t="s">
        <v>469</v>
      </c>
      <c r="D362" s="422"/>
      <c r="E362" s="422"/>
      <c r="F362" s="422"/>
      <c r="G362" s="422"/>
      <c r="H362" s="422"/>
      <c r="I362" s="422"/>
      <c r="J362" s="422"/>
      <c r="K362" s="423"/>
    </row>
    <row r="363" spans="1:12" ht="13.5" thickBot="1" x14ac:dyDescent="0.25">
      <c r="A363" s="181"/>
      <c r="B363" s="424"/>
      <c r="C363" s="425"/>
      <c r="D363" s="425"/>
      <c r="E363" s="425"/>
      <c r="F363" s="425"/>
      <c r="G363" s="425"/>
      <c r="H363" s="425"/>
      <c r="I363" s="425"/>
      <c r="K363" s="181"/>
    </row>
    <row r="364" spans="1:12" ht="24" thickTop="1" thickBot="1" x14ac:dyDescent="0.25">
      <c r="A364" s="181"/>
      <c r="B364" s="161" t="s">
        <v>199</v>
      </c>
      <c r="C364" s="162" t="s">
        <v>200</v>
      </c>
      <c r="D364" s="162" t="s">
        <v>201</v>
      </c>
      <c r="E364" s="162" t="s">
        <v>202</v>
      </c>
      <c r="F364" s="162" t="s">
        <v>69</v>
      </c>
      <c r="G364" s="162" t="s">
        <v>70</v>
      </c>
      <c r="H364" s="162" t="s">
        <v>203</v>
      </c>
      <c r="I364" s="163" t="s">
        <v>204</v>
      </c>
    </row>
    <row r="365" spans="1:12" ht="14.25" thickTop="1" thickBot="1" x14ac:dyDescent="0.25">
      <c r="A365" s="181"/>
      <c r="B365" s="164" t="s">
        <v>205</v>
      </c>
      <c r="C365" s="165" t="s">
        <v>206</v>
      </c>
      <c r="D365" s="165" t="s">
        <v>207</v>
      </c>
      <c r="E365" s="165" t="s">
        <v>207</v>
      </c>
      <c r="F365" s="165" t="s">
        <v>208</v>
      </c>
      <c r="G365" s="165" t="s">
        <v>209</v>
      </c>
      <c r="H365" s="165" t="s">
        <v>127</v>
      </c>
      <c r="I365" s="165" t="s">
        <v>210</v>
      </c>
    </row>
    <row r="366" spans="1:12" s="427" customFormat="1" ht="14.25" thickTop="1" thickBot="1" x14ac:dyDescent="0.25">
      <c r="A366" s="181"/>
      <c r="B366" s="166" t="str">
        <f>B28</f>
        <v>Resistencia I</v>
      </c>
      <c r="C366" s="167">
        <f>+Estribo!V234</f>
        <v>37.589468766947235</v>
      </c>
      <c r="D366" s="167">
        <f>+Estribo!V246</f>
        <v>53.537986257034241</v>
      </c>
      <c r="E366" s="167">
        <f>+Estribo!V270</f>
        <v>16.042513670958293</v>
      </c>
      <c r="F366" s="168">
        <f>ROUND((D366-E366)/C366,3)</f>
        <v>0.997</v>
      </c>
      <c r="G366" s="167">
        <f>ABS(Estribo!O44/2-F366)</f>
        <v>0.253</v>
      </c>
      <c r="H366" s="167">
        <f>+Estribo!O44/4</f>
        <v>0.625</v>
      </c>
      <c r="I366" s="167">
        <f>ROUND((H366-G366)/H366*100,1)</f>
        <v>59.5</v>
      </c>
      <c r="J366" s="181"/>
      <c r="K366" s="181"/>
      <c r="L366" s="426"/>
    </row>
    <row r="367" spans="1:12" s="427" customFormat="1" ht="14.25" thickTop="1" thickBot="1" x14ac:dyDescent="0.25">
      <c r="A367" s="181"/>
      <c r="B367" s="166" t="s">
        <v>513</v>
      </c>
      <c r="C367" s="167">
        <f>+Estribo!V235</f>
        <v>35.802065950045829</v>
      </c>
      <c r="D367" s="167">
        <f>+Estribo!V247</f>
        <v>50.765217242949731</v>
      </c>
      <c r="E367" s="167">
        <f>+Estribo!V271</f>
        <v>14.407526507425901</v>
      </c>
      <c r="F367" s="168">
        <f t="shared" ref="F367:F371" si="45">ROUND((D367-E367)/C367,3)</f>
        <v>1.016</v>
      </c>
      <c r="G367" s="167">
        <f>ABS(Estribo!O44/2-F367)</f>
        <v>0.23399999999999999</v>
      </c>
      <c r="H367" s="167">
        <f>Estribo!O44/4</f>
        <v>0.625</v>
      </c>
      <c r="I367" s="167">
        <f t="shared" ref="I367:I371" si="46">ROUND((H367-G367)/H367*100,1)</f>
        <v>62.6</v>
      </c>
      <c r="J367" s="181"/>
      <c r="K367" s="181"/>
      <c r="L367" s="426"/>
    </row>
    <row r="368" spans="1:12" ht="14.25" thickTop="1" thickBot="1" x14ac:dyDescent="0.25">
      <c r="A368" s="174"/>
      <c r="B368" s="166" t="str">
        <f>B29</f>
        <v>Servicio I</v>
      </c>
      <c r="C368" s="167">
        <f>+Estribo!V231</f>
        <v>27.967259520600042</v>
      </c>
      <c r="D368" s="167">
        <f>+Estribo!V243</f>
        <v>39.453019428162605</v>
      </c>
      <c r="E368" s="167">
        <f>+Estribo!V267</f>
        <v>10.013764462500365</v>
      </c>
      <c r="F368" s="168">
        <f t="shared" si="45"/>
        <v>1.0529999999999999</v>
      </c>
      <c r="G368" s="167">
        <f>ABS(Estribo!O44/2-F368)</f>
        <v>0.19700000000000006</v>
      </c>
      <c r="H368" s="167">
        <f>+Estribo!O44/4</f>
        <v>0.625</v>
      </c>
      <c r="I368" s="167">
        <f t="shared" si="46"/>
        <v>68.5</v>
      </c>
      <c r="J368" s="174"/>
    </row>
    <row r="369" spans="1:12" ht="14.25" thickTop="1" thickBot="1" x14ac:dyDescent="0.25">
      <c r="A369" s="174"/>
      <c r="B369" s="166" t="s">
        <v>511</v>
      </c>
      <c r="C369" s="167">
        <f>+Estribo!V232</f>
        <v>29.307811633276096</v>
      </c>
      <c r="D369" s="167">
        <f>+Estribo!V244</f>
        <v>41.532596188725982</v>
      </c>
      <c r="E369" s="167">
        <f>+Estribo!V268</f>
        <v>11.24000483514966</v>
      </c>
      <c r="F369" s="168">
        <f t="shared" si="45"/>
        <v>1.034</v>
      </c>
      <c r="G369" s="167">
        <f>ABS(Estribo!O44/2-F369)</f>
        <v>0.21599999999999997</v>
      </c>
      <c r="H369" s="167">
        <f>Estribo!O44/4</f>
        <v>0.625</v>
      </c>
      <c r="I369" s="167">
        <f t="shared" si="46"/>
        <v>65.400000000000006</v>
      </c>
      <c r="J369" s="174"/>
    </row>
    <row r="370" spans="1:12" ht="14.25" thickTop="1" thickBot="1" x14ac:dyDescent="0.25">
      <c r="A370" s="174"/>
      <c r="B370" s="166" t="s">
        <v>512</v>
      </c>
      <c r="C370" s="167">
        <f>+Estribo!V233</f>
        <v>27.073558112149339</v>
      </c>
      <c r="D370" s="167">
        <f>+Estribo!V245</f>
        <v>38.066634921120354</v>
      </c>
      <c r="E370" s="167">
        <f>+Estribo!V269</f>
        <v>9.1962708807341684</v>
      </c>
      <c r="F370" s="168">
        <f t="shared" si="45"/>
        <v>1.0660000000000001</v>
      </c>
      <c r="G370" s="167">
        <f>ABS(Estribo!O44/2-F370)</f>
        <v>0.18399999999999994</v>
      </c>
      <c r="H370" s="167">
        <f>+Estribo!O44/4</f>
        <v>0.625</v>
      </c>
      <c r="I370" s="167">
        <f t="shared" si="46"/>
        <v>70.599999999999994</v>
      </c>
      <c r="J370" s="174"/>
    </row>
    <row r="371" spans="1:12" ht="14.25" thickTop="1" thickBot="1" x14ac:dyDescent="0.25">
      <c r="A371" s="181"/>
      <c r="B371" s="166" t="str">
        <f>B30</f>
        <v>Evento Extrem I</v>
      </c>
      <c r="C371" s="167">
        <f>+Estribo!V236</f>
        <v>32.003834964130334</v>
      </c>
      <c r="D371" s="167">
        <f>+Estribo!V248</f>
        <v>44.873083088020159</v>
      </c>
      <c r="E371" s="167">
        <f>G318</f>
        <v>12.260000000000002</v>
      </c>
      <c r="F371" s="168">
        <f t="shared" si="45"/>
        <v>1.0189999999999999</v>
      </c>
      <c r="G371" s="167">
        <f>ABS(Estribo!O44/2-F371)</f>
        <v>0.23100000000000009</v>
      </c>
      <c r="H371" s="167">
        <f>Estribo!O44/4</f>
        <v>0.625</v>
      </c>
      <c r="I371" s="167">
        <f t="shared" si="46"/>
        <v>63</v>
      </c>
      <c r="J371" s="181"/>
    </row>
    <row r="372" spans="1:12" ht="13.5" thickTop="1" x14ac:dyDescent="0.2">
      <c r="A372" s="181"/>
      <c r="B372" s="467"/>
      <c r="C372" s="468"/>
      <c r="D372" s="468"/>
      <c r="E372" s="468"/>
      <c r="F372" s="469"/>
      <c r="G372" s="468"/>
      <c r="H372" s="468"/>
      <c r="I372" s="468"/>
      <c r="J372" s="181"/>
    </row>
    <row r="373" spans="1:12" x14ac:dyDescent="0.2">
      <c r="A373" s="181"/>
      <c r="B373" s="428"/>
      <c r="C373" s="429"/>
      <c r="D373" s="429"/>
      <c r="E373" s="429"/>
      <c r="F373" s="429"/>
      <c r="G373" s="430"/>
      <c r="H373" s="430"/>
      <c r="I373" s="431"/>
      <c r="J373" s="432"/>
      <c r="K373" s="181"/>
    </row>
    <row r="374" spans="1:12" s="179" customFormat="1" x14ac:dyDescent="0.2">
      <c r="A374"/>
      <c r="B374"/>
      <c r="C374"/>
      <c r="D374"/>
      <c r="E374"/>
      <c r="F374"/>
      <c r="G374" s="281"/>
      <c r="H374" s="281"/>
      <c r="I374" s="321"/>
      <c r="J374"/>
      <c r="K374"/>
    </row>
    <row r="375" spans="1:12" x14ac:dyDescent="0.2">
      <c r="A375" s="181"/>
      <c r="B375" s="181"/>
      <c r="C375" s="181"/>
      <c r="D375" s="181"/>
      <c r="E375" s="181"/>
      <c r="F375" s="433"/>
      <c r="G375" s="433"/>
      <c r="H375" s="434"/>
      <c r="I375" s="181"/>
      <c r="J375" s="181"/>
      <c r="K375" s="181"/>
    </row>
    <row r="376" spans="1:12" ht="15.75" x14ac:dyDescent="0.25">
      <c r="A376" s="420" t="s">
        <v>470</v>
      </c>
      <c r="B376" s="421" t="s">
        <v>471</v>
      </c>
      <c r="C376" s="422"/>
      <c r="D376" s="422"/>
      <c r="E376" s="422"/>
      <c r="F376" s="435" t="s">
        <v>472</v>
      </c>
      <c r="G376" s="436">
        <v>0.9</v>
      </c>
      <c r="H376" s="422"/>
      <c r="I376" s="435"/>
      <c r="J376" s="423"/>
      <c r="K376" s="423"/>
    </row>
    <row r="377" spans="1:12" ht="13.5" thickBot="1" x14ac:dyDescent="0.25">
      <c r="A377" s="181"/>
      <c r="B377" s="424"/>
      <c r="C377" s="425"/>
      <c r="D377" s="425"/>
      <c r="E377" s="425"/>
      <c r="F377" s="425"/>
      <c r="G377" s="425"/>
      <c r="H377" s="425"/>
      <c r="I377" s="437"/>
      <c r="J377" s="425"/>
      <c r="K377" s="181"/>
    </row>
    <row r="378" spans="1:12" ht="14.25" thickTop="1" thickBot="1" x14ac:dyDescent="0.25">
      <c r="A378" s="181"/>
      <c r="B378" s="438"/>
      <c r="C378" s="439"/>
      <c r="D378" s="439" t="s">
        <v>514</v>
      </c>
      <c r="E378" s="439"/>
      <c r="F378" s="439"/>
      <c r="G378" s="439"/>
      <c r="H378" s="439"/>
      <c r="I378" s="439"/>
      <c r="J378" s="586" t="s">
        <v>473</v>
      </c>
      <c r="K378" s="181"/>
    </row>
    <row r="379" spans="1:12" ht="17.25" thickTop="1" thickBot="1" x14ac:dyDescent="0.3">
      <c r="A379" s="181"/>
      <c r="B379" s="440" t="s">
        <v>199</v>
      </c>
      <c r="C379" s="162" t="s">
        <v>200</v>
      </c>
      <c r="D379" s="441" t="s">
        <v>128</v>
      </c>
      <c r="E379" s="162"/>
      <c r="F379" s="162" t="s">
        <v>474</v>
      </c>
      <c r="G379" s="162" t="s">
        <v>129</v>
      </c>
      <c r="H379" s="162" t="s">
        <v>475</v>
      </c>
      <c r="I379" s="162" t="s">
        <v>476</v>
      </c>
      <c r="J379" s="586"/>
      <c r="K379" s="433"/>
      <c r="L379" s="181"/>
    </row>
    <row r="380" spans="1:12" s="427" customFormat="1" ht="14.25" thickTop="1" thickBot="1" x14ac:dyDescent="0.25">
      <c r="A380" s="181"/>
      <c r="B380" s="442" t="s">
        <v>205</v>
      </c>
      <c r="C380" s="165" t="s">
        <v>206</v>
      </c>
      <c r="D380" s="165"/>
      <c r="E380" s="165"/>
      <c r="F380" s="165" t="s">
        <v>206</v>
      </c>
      <c r="G380" s="165"/>
      <c r="H380" s="165"/>
      <c r="I380" s="165" t="s">
        <v>206</v>
      </c>
      <c r="J380" s="165" t="s">
        <v>210</v>
      </c>
      <c r="K380" s="181"/>
      <c r="L380" s="443"/>
    </row>
    <row r="381" spans="1:12" ht="14.25" thickTop="1" thickBot="1" x14ac:dyDescent="0.25">
      <c r="A381" s="174"/>
      <c r="B381" s="166" t="s">
        <v>236</v>
      </c>
      <c r="C381" s="167">
        <f t="shared" ref="C381:C386" si="47">C366</f>
        <v>37.589468766947235</v>
      </c>
      <c r="D381" s="167">
        <f>Estribo!AA16</f>
        <v>0.36397115866880897</v>
      </c>
      <c r="E381" s="167"/>
      <c r="F381" s="167">
        <f>C381*D381</f>
        <v>13.681482500850791</v>
      </c>
      <c r="G381" s="444">
        <f>G376</f>
        <v>0.9</v>
      </c>
      <c r="H381" s="167">
        <f>F381*0.9</f>
        <v>12.313334250765712</v>
      </c>
      <c r="I381" s="167">
        <f>Estribo!V259</f>
        <v>9.8368909304291083</v>
      </c>
      <c r="J381" s="167">
        <f>ROUND((H381-I381)/H381*100,1)</f>
        <v>20.100000000000001</v>
      </c>
      <c r="K381" s="174"/>
      <c r="L381" s="181"/>
    </row>
    <row r="382" spans="1:12" s="179" customFormat="1" ht="14.25" thickTop="1" thickBot="1" x14ac:dyDescent="0.25">
      <c r="A382" s="174"/>
      <c r="B382" s="166" t="s">
        <v>513</v>
      </c>
      <c r="C382" s="167">
        <f t="shared" si="47"/>
        <v>35.802065950045829</v>
      </c>
      <c r="D382" s="167">
        <f>Estribo!AA16</f>
        <v>0.36397115866880897</v>
      </c>
      <c r="E382" s="167"/>
      <c r="F382" s="167">
        <f t="shared" ref="F382:F386" si="48">C382*D382</f>
        <v>13.030919426575293</v>
      </c>
      <c r="G382" s="444">
        <f>G376</f>
        <v>0.9</v>
      </c>
      <c r="H382" s="167">
        <f>F382*0.9</f>
        <v>11.727827483917764</v>
      </c>
      <c r="I382" s="167">
        <f>Estribo!V260</f>
        <v>9.1123635458460104</v>
      </c>
      <c r="J382" s="167">
        <f t="shared" ref="J382:J386" si="49">ROUND((H382-I382)/H382*100,1)</f>
        <v>22.3</v>
      </c>
      <c r="K382" s="174"/>
      <c r="L382" s="174"/>
    </row>
    <row r="383" spans="1:12" s="179" customFormat="1" ht="14.25" thickTop="1" thickBot="1" x14ac:dyDescent="0.25">
      <c r="A383" s="174"/>
      <c r="B383" s="166" t="s">
        <v>237</v>
      </c>
      <c r="C383" s="167">
        <f t="shared" si="47"/>
        <v>27.967259520600042</v>
      </c>
      <c r="D383" s="167">
        <f>Estribo!AA16</f>
        <v>0.36397115866880897</v>
      </c>
      <c r="E383" s="167"/>
      <c r="F383" s="167">
        <f t="shared" si="48"/>
        <v>10.179275852504077</v>
      </c>
      <c r="G383" s="444">
        <f>G376</f>
        <v>0.9</v>
      </c>
      <c r="H383" s="167">
        <f>F383*0.9</f>
        <v>9.1613482672536701</v>
      </c>
      <c r="I383" s="167">
        <f>+Estribo!V256</f>
        <v>6.2560408767097808</v>
      </c>
      <c r="J383" s="167">
        <f t="shared" si="49"/>
        <v>31.7</v>
      </c>
      <c r="K383" s="174"/>
      <c r="L383" s="174"/>
    </row>
    <row r="384" spans="1:12" s="179" customFormat="1" ht="14.25" thickTop="1" thickBot="1" x14ac:dyDescent="0.25">
      <c r="A384" s="174"/>
      <c r="B384" s="166" t="s">
        <v>511</v>
      </c>
      <c r="C384" s="167">
        <f t="shared" si="47"/>
        <v>29.307811633276096</v>
      </c>
      <c r="D384" s="167">
        <f>Estribo!AA16</f>
        <v>0.36397115866880897</v>
      </c>
      <c r="E384" s="167"/>
      <c r="F384" s="167">
        <f t="shared" si="48"/>
        <v>10.667198158210699</v>
      </c>
      <c r="G384" s="444">
        <f>G376</f>
        <v>0.9</v>
      </c>
      <c r="H384" s="167">
        <f>F384*0.9</f>
        <v>9.6004783423896285</v>
      </c>
      <c r="I384" s="167">
        <f>+Estribo!V257</f>
        <v>6.7994364151471043</v>
      </c>
      <c r="J384" s="167">
        <f t="shared" si="49"/>
        <v>29.2</v>
      </c>
      <c r="K384" s="174"/>
      <c r="L384" s="174"/>
    </row>
    <row r="385" spans="1:27" s="179" customFormat="1" ht="14.25" thickTop="1" thickBot="1" x14ac:dyDescent="0.25">
      <c r="A385" s="174"/>
      <c r="B385" s="166" t="s">
        <v>512</v>
      </c>
      <c r="C385" s="167">
        <f t="shared" si="47"/>
        <v>27.073558112149339</v>
      </c>
      <c r="D385" s="167">
        <f>Estribo!AA16</f>
        <v>0.36397115866880897</v>
      </c>
      <c r="E385" s="167"/>
      <c r="F385" s="167">
        <f t="shared" si="48"/>
        <v>9.853994315366327</v>
      </c>
      <c r="G385" s="444">
        <f>G376</f>
        <v>0.9</v>
      </c>
      <c r="H385" s="167">
        <f>F385*0.9</f>
        <v>8.8685948838296937</v>
      </c>
      <c r="I385" s="167">
        <f>+Estribo!V258</f>
        <v>5.8937771844182318</v>
      </c>
      <c r="J385" s="167">
        <f t="shared" si="49"/>
        <v>33.5</v>
      </c>
      <c r="K385" s="174"/>
      <c r="L385" s="174"/>
    </row>
    <row r="386" spans="1:27" s="179" customFormat="1" ht="14.25" thickTop="1" thickBot="1" x14ac:dyDescent="0.25">
      <c r="A386" s="174"/>
      <c r="B386" s="166" t="s">
        <v>238</v>
      </c>
      <c r="C386" s="167">
        <f t="shared" si="47"/>
        <v>32.003834964130334</v>
      </c>
      <c r="D386" s="167">
        <f>Estribo!AA16</f>
        <v>0.36397115866880897</v>
      </c>
      <c r="E386" s="167"/>
      <c r="F386" s="167">
        <f t="shared" si="48"/>
        <v>11.648472893739857</v>
      </c>
      <c r="G386" s="444">
        <v>0.9</v>
      </c>
      <c r="H386" s="167">
        <f>F386*1</f>
        <v>11.648472893739857</v>
      </c>
      <c r="I386" s="167">
        <f>+Estribo!V261</f>
        <v>12.662042733647695</v>
      </c>
      <c r="J386" s="167">
        <f t="shared" si="49"/>
        <v>-8.6999999999999993</v>
      </c>
      <c r="K386" s="174"/>
      <c r="L386" s="174"/>
    </row>
    <row r="387" spans="1:27" s="179" customFormat="1" ht="13.5" thickTop="1" x14ac:dyDescent="0.2">
      <c r="A387" s="174"/>
      <c r="B387" s="467"/>
      <c r="C387" s="468"/>
      <c r="D387" s="468"/>
      <c r="E387" s="468"/>
      <c r="F387" s="468"/>
      <c r="G387" s="471"/>
      <c r="H387" s="468"/>
      <c r="I387" s="468"/>
      <c r="J387" s="468"/>
      <c r="K387" s="174"/>
      <c r="L387" s="174"/>
    </row>
    <row r="388" spans="1:27" s="179" customFormat="1" x14ac:dyDescent="0.2">
      <c r="A388" s="181"/>
      <c r="B388" s="428"/>
      <c r="C388" s="429"/>
      <c r="D388" s="429"/>
      <c r="E388" s="431"/>
      <c r="F388" s="429"/>
      <c r="G388" s="429"/>
      <c r="H388" s="429"/>
      <c r="I388" s="445"/>
      <c r="J388" s="181"/>
      <c r="K388" s="181"/>
      <c r="L388" s="174"/>
    </row>
    <row r="389" spans="1:27" s="179" customFormat="1" x14ac:dyDescent="0.2">
      <c r="A389" s="181"/>
      <c r="B389" s="181"/>
      <c r="C389" s="181"/>
      <c r="D389" s="181"/>
      <c r="E389" s="181"/>
      <c r="F389" s="181"/>
      <c r="G389" s="181"/>
      <c r="H389" s="181"/>
      <c r="I389" s="181"/>
      <c r="J389" s="181"/>
      <c r="K389" s="181"/>
      <c r="L389" s="174"/>
    </row>
    <row r="390" spans="1:27" s="179" customFormat="1" ht="15.75" x14ac:dyDescent="0.25">
      <c r="A390" s="420" t="s">
        <v>477</v>
      </c>
      <c r="B390" s="421" t="s">
        <v>478</v>
      </c>
      <c r="C390" s="422"/>
      <c r="D390" s="422"/>
      <c r="E390" s="422"/>
      <c r="F390" s="422"/>
      <c r="G390" s="422"/>
      <c r="H390" s="422"/>
      <c r="I390" s="422"/>
      <c r="J390" s="422"/>
      <c r="K390" s="422"/>
      <c r="L390" s="174"/>
    </row>
    <row r="391" spans="1:27" s="179" customFormat="1" ht="13.5" thickBot="1" x14ac:dyDescent="0.25">
      <c r="A391" s="181"/>
      <c r="B391" s="424"/>
      <c r="C391" s="425"/>
      <c r="D391" s="425"/>
      <c r="E391" s="425"/>
      <c r="F391" s="446"/>
      <c r="G391" s="425"/>
      <c r="H391" s="425"/>
      <c r="J391"/>
      <c r="K391"/>
      <c r="L391" s="174"/>
    </row>
    <row r="392" spans="1:27" ht="14.25" thickTop="1" thickBot="1" x14ac:dyDescent="0.25">
      <c r="A392" s="181"/>
      <c r="B392" s="447" t="s">
        <v>479</v>
      </c>
      <c r="C392" s="439"/>
      <c r="D392" s="439"/>
      <c r="E392" s="448" t="s">
        <v>480</v>
      </c>
      <c r="F392" s="448">
        <v>0.45</v>
      </c>
      <c r="G392" s="439"/>
      <c r="H392" s="439"/>
      <c r="I392" s="174"/>
      <c r="L392" s="181"/>
    </row>
    <row r="393" spans="1:27" ht="24" thickTop="1" thickBot="1" x14ac:dyDescent="0.3">
      <c r="A393" s="181"/>
      <c r="B393" s="449" t="s">
        <v>481</v>
      </c>
      <c r="C393" s="162" t="s">
        <v>200</v>
      </c>
      <c r="D393" s="441" t="s">
        <v>518</v>
      </c>
      <c r="E393" s="162" t="s">
        <v>519</v>
      </c>
      <c r="F393" s="450" t="s">
        <v>482</v>
      </c>
      <c r="G393" s="162"/>
      <c r="H393" s="163" t="s">
        <v>204</v>
      </c>
      <c r="J393" s="181"/>
    </row>
    <row r="394" spans="1:27" s="427" customFormat="1" ht="14.25" thickTop="1" thickBot="1" x14ac:dyDescent="0.25">
      <c r="A394" s="181"/>
      <c r="B394" s="451"/>
      <c r="C394" s="165" t="s">
        <v>206</v>
      </c>
      <c r="D394" s="165"/>
      <c r="E394" s="165"/>
      <c r="F394" s="165" t="s">
        <v>483</v>
      </c>
      <c r="G394" s="165"/>
      <c r="H394" s="165"/>
      <c r="I394"/>
      <c r="J394" s="452"/>
      <c r="K394" s="426"/>
      <c r="L394" s="426"/>
    </row>
    <row r="395" spans="1:27" ht="14.25" thickTop="1" thickBot="1" x14ac:dyDescent="0.25">
      <c r="A395" s="174"/>
      <c r="B395" s="166" t="str">
        <f>+B381</f>
        <v>Resistencia I</v>
      </c>
      <c r="C395" s="167">
        <f>C381</f>
        <v>37.589468766947235</v>
      </c>
      <c r="D395" s="167">
        <f>+Estribo!Y51*10</f>
        <v>83.999999999999986</v>
      </c>
      <c r="E395" s="167">
        <f>D395*$F$392</f>
        <v>37.799999999999997</v>
      </c>
      <c r="F395" s="167">
        <f>+C395/Estribo!O44+6*G366*C395/Estribo!O44^2</f>
        <v>24.165517680895036</v>
      </c>
      <c r="G395" s="167"/>
      <c r="H395" s="453">
        <f>ROUND(($E395-F395)/$E395*100,1)</f>
        <v>36.1</v>
      </c>
      <c r="I395" s="179"/>
      <c r="J395" s="181"/>
      <c r="K395" s="181"/>
      <c r="L395" s="181"/>
      <c r="M395" s="454"/>
      <c r="N395" s="455"/>
      <c r="O395" s="455"/>
      <c r="P395" s="455"/>
      <c r="Q395" s="455"/>
      <c r="R395" s="455"/>
      <c r="S395" s="455"/>
      <c r="T395" s="455"/>
      <c r="U395" s="455"/>
      <c r="V395" s="455"/>
      <c r="W395" s="455"/>
      <c r="X395" s="455"/>
      <c r="Y395" s="455"/>
      <c r="Z395" s="455"/>
      <c r="AA395" s="455"/>
    </row>
    <row r="396" spans="1:27" ht="14.25" thickTop="1" thickBot="1" x14ac:dyDescent="0.25">
      <c r="A396" s="174"/>
      <c r="B396" s="166" t="s">
        <v>513</v>
      </c>
      <c r="C396" s="167">
        <f t="shared" ref="C396:C400" si="50">C382</f>
        <v>35.802065950045829</v>
      </c>
      <c r="D396" s="167">
        <f>+Estribo!Y51*10</f>
        <v>83.999999999999986</v>
      </c>
      <c r="E396" s="167">
        <f t="shared" ref="E396:E400" si="51">D396*$F$392</f>
        <v>37.799999999999997</v>
      </c>
      <c r="F396" s="167">
        <f>+C396/Estribo!O44+6*G367*C396/Estribo!O44^2</f>
        <v>22.363402475036629</v>
      </c>
      <c r="G396" s="167"/>
      <c r="H396" s="453">
        <f t="shared" ref="H396:H400" si="52">ROUND(($E396-F396)/$E396*100,1)</f>
        <v>40.799999999999997</v>
      </c>
      <c r="I396" s="179"/>
      <c r="J396" s="181"/>
      <c r="K396" s="181"/>
      <c r="L396" s="181"/>
      <c r="M396" s="454"/>
      <c r="N396" s="455"/>
      <c r="O396" s="455"/>
      <c r="P396" s="455"/>
      <c r="Q396" s="455"/>
      <c r="R396" s="455"/>
      <c r="S396" s="455"/>
      <c r="T396" s="455"/>
      <c r="U396" s="455"/>
      <c r="V396" s="455"/>
      <c r="W396" s="455"/>
      <c r="X396" s="455"/>
      <c r="Y396" s="455"/>
      <c r="Z396" s="455"/>
      <c r="AA396" s="455"/>
    </row>
    <row r="397" spans="1:27" ht="14.25" thickTop="1" thickBot="1" x14ac:dyDescent="0.25">
      <c r="A397" s="174"/>
      <c r="B397" s="166" t="s">
        <v>237</v>
      </c>
      <c r="C397" s="167">
        <f t="shared" si="50"/>
        <v>27.967259520600042</v>
      </c>
      <c r="D397" s="167">
        <f>+Estribo!Y51*10</f>
        <v>83.999999999999986</v>
      </c>
      <c r="E397" s="167">
        <f t="shared" si="51"/>
        <v>37.799999999999997</v>
      </c>
      <c r="F397" s="167">
        <f>+C397/Estribo!O44+6*G368*C397/Estribo!O44^2</f>
        <v>16.476071928775898</v>
      </c>
      <c r="G397" s="167"/>
      <c r="H397" s="453">
        <f t="shared" si="52"/>
        <v>56.4</v>
      </c>
      <c r="I397" s="179"/>
      <c r="J397" s="181"/>
      <c r="K397" s="181"/>
      <c r="L397" s="181"/>
      <c r="M397" s="454"/>
      <c r="N397" s="455"/>
      <c r="O397" s="455"/>
      <c r="P397" s="455"/>
      <c r="Q397" s="455"/>
      <c r="R397" s="455"/>
      <c r="S397" s="455"/>
      <c r="T397" s="455"/>
      <c r="U397" s="455"/>
      <c r="V397" s="455"/>
      <c r="W397" s="455"/>
      <c r="X397" s="455"/>
      <c r="Y397" s="455"/>
      <c r="Z397" s="455"/>
      <c r="AA397" s="455"/>
    </row>
    <row r="398" spans="1:27" ht="14.25" thickTop="1" thickBot="1" x14ac:dyDescent="0.25">
      <c r="A398" s="174"/>
      <c r="B398" s="166" t="s">
        <v>511</v>
      </c>
      <c r="C398" s="167">
        <f t="shared" si="50"/>
        <v>29.307811633276096</v>
      </c>
      <c r="D398" s="167">
        <f>+Estribo!Y51*10</f>
        <v>83.999999999999986</v>
      </c>
      <c r="E398" s="167">
        <f t="shared" si="51"/>
        <v>37.799999999999997</v>
      </c>
      <c r="F398" s="167">
        <f>+C398/Estribo!O44+6*G369*C398/Estribo!O44^2</f>
        <v>17.80039247358657</v>
      </c>
      <c r="G398" s="167"/>
      <c r="H398" s="453">
        <f t="shared" si="52"/>
        <v>52.9</v>
      </c>
      <c r="I398" s="179"/>
      <c r="J398" s="181"/>
      <c r="K398" s="181"/>
      <c r="L398" s="181"/>
      <c r="M398" s="454"/>
      <c r="N398" s="455"/>
      <c r="O398" s="455"/>
      <c r="P398" s="455"/>
      <c r="Q398" s="455"/>
      <c r="R398" s="455"/>
      <c r="S398" s="455"/>
      <c r="T398" s="455"/>
      <c r="U398" s="455"/>
      <c r="V398" s="455"/>
      <c r="W398" s="455"/>
      <c r="X398" s="455"/>
      <c r="Y398" s="455"/>
      <c r="Z398" s="455"/>
      <c r="AA398" s="455"/>
    </row>
    <row r="399" spans="1:27" ht="14.25" thickTop="1" thickBot="1" x14ac:dyDescent="0.25">
      <c r="A399" s="174"/>
      <c r="B399" s="166" t="s">
        <v>512</v>
      </c>
      <c r="C399" s="167">
        <f t="shared" si="50"/>
        <v>27.073558112149339</v>
      </c>
      <c r="D399" s="167">
        <f>+Estribo!Y51*10</f>
        <v>83.999999999999986</v>
      </c>
      <c r="E399" s="167">
        <f t="shared" si="51"/>
        <v>37.799999999999997</v>
      </c>
      <c r="F399" s="167">
        <f>+C399/Estribo!O44+6*G370*C399/Estribo!O44^2</f>
        <v>15.611696549789794</v>
      </c>
      <c r="G399" s="167"/>
      <c r="H399" s="453">
        <f t="shared" si="52"/>
        <v>58.7</v>
      </c>
      <c r="I399" s="179"/>
      <c r="J399" s="181"/>
      <c r="K399" s="181"/>
      <c r="L399" s="181"/>
      <c r="M399" s="454"/>
      <c r="N399" s="455"/>
      <c r="O399" s="455"/>
      <c r="P399" s="455"/>
      <c r="Q399" s="455"/>
      <c r="R399" s="455"/>
      <c r="S399" s="455"/>
      <c r="T399" s="455"/>
      <c r="U399" s="455"/>
      <c r="V399" s="455"/>
      <c r="W399" s="455"/>
      <c r="X399" s="455"/>
      <c r="Y399" s="455"/>
      <c r="Z399" s="455"/>
      <c r="AA399" s="455"/>
    </row>
    <row r="400" spans="1:27" s="179" customFormat="1" ht="14.25" thickTop="1" thickBot="1" x14ac:dyDescent="0.25">
      <c r="A400" s="174"/>
      <c r="B400" s="166" t="s">
        <v>238</v>
      </c>
      <c r="C400" s="167">
        <f t="shared" si="50"/>
        <v>32.003834964130334</v>
      </c>
      <c r="D400" s="167">
        <f>+Estribo!Y51*10</f>
        <v>83.999999999999986</v>
      </c>
      <c r="E400" s="167">
        <f t="shared" si="51"/>
        <v>37.799999999999997</v>
      </c>
      <c r="F400" s="167">
        <f>+C400/Estribo!O44+6*G371*C400/Estribo!O44^2</f>
        <v>19.89870442729768</v>
      </c>
      <c r="G400" s="167"/>
      <c r="H400" s="453">
        <f t="shared" si="52"/>
        <v>47.4</v>
      </c>
      <c r="J400"/>
      <c r="K400"/>
      <c r="L400"/>
      <c r="M400" s="456">
        <v>74</v>
      </c>
      <c r="N400" s="456">
        <v>60</v>
      </c>
      <c r="O400" s="456">
        <v>69</v>
      </c>
      <c r="P400" s="456"/>
      <c r="Q400" s="456"/>
      <c r="R400" s="457" t="s">
        <v>236</v>
      </c>
      <c r="S400" s="458">
        <v>27.64</v>
      </c>
      <c r="T400" s="458">
        <v>105.735</v>
      </c>
      <c r="U400" s="458">
        <v>0.26140823757506976</v>
      </c>
      <c r="V400" s="458">
        <f>+D395</f>
        <v>83.999999999999986</v>
      </c>
      <c r="W400" s="458">
        <f>+E395</f>
        <v>37.799999999999997</v>
      </c>
      <c r="X400" s="458">
        <f>+F395</f>
        <v>24.165517680895036</v>
      </c>
      <c r="Y400" s="458">
        <f>+G395</f>
        <v>0</v>
      </c>
      <c r="Z400" s="456"/>
      <c r="AA400" s="456"/>
    </row>
    <row r="401" spans="1:27" s="179" customFormat="1" ht="14.25" thickTop="1" thickBot="1" x14ac:dyDescent="0.25">
      <c r="A401" s="174"/>
      <c r="B401" s="166"/>
      <c r="C401" s="167"/>
      <c r="D401" s="167"/>
      <c r="E401" s="167"/>
      <c r="F401" s="167"/>
      <c r="G401" s="167"/>
      <c r="H401" s="453"/>
      <c r="J401"/>
      <c r="K401"/>
      <c r="L401"/>
      <c r="M401" s="456">
        <v>76</v>
      </c>
      <c r="N401" s="456">
        <v>65</v>
      </c>
      <c r="O401" s="456">
        <v>74</v>
      </c>
      <c r="P401" s="456"/>
      <c r="Q401" s="456"/>
      <c r="R401" s="457" t="s">
        <v>484</v>
      </c>
      <c r="S401" s="458">
        <v>19.37</v>
      </c>
      <c r="T401" s="458">
        <v>82.811499999999995</v>
      </c>
      <c r="U401" s="458">
        <v>0.23390471130217419</v>
      </c>
      <c r="V401" s="458" t="e">
        <f>+#REF!</f>
        <v>#REF!</v>
      </c>
      <c r="W401" s="458" t="e">
        <f>+#REF!</f>
        <v>#REF!</v>
      </c>
      <c r="X401" s="458" t="e">
        <f>+#REF!</f>
        <v>#REF!</v>
      </c>
      <c r="Y401" s="458" t="e">
        <f>+#REF!</f>
        <v>#REF!</v>
      </c>
      <c r="Z401" s="456"/>
      <c r="AA401" s="456"/>
    </row>
    <row r="402" spans="1:27" s="179" customFormat="1" ht="13.5" thickTop="1" x14ac:dyDescent="0.2">
      <c r="A402" s="174"/>
      <c r="B402" s="459" t="s">
        <v>485</v>
      </c>
      <c r="C402" s="174"/>
      <c r="D402" s="174"/>
      <c r="E402" s="174"/>
      <c r="F402" s="174"/>
      <c r="G402" s="174"/>
      <c r="H402" s="174"/>
      <c r="I402" s="174"/>
      <c r="J402"/>
      <c r="K402"/>
      <c r="L402"/>
      <c r="M402" s="456"/>
      <c r="N402" s="460" t="e">
        <f>+#REF!/#REF!</f>
        <v>#REF!</v>
      </c>
      <c r="O402" s="456">
        <v>79</v>
      </c>
      <c r="P402" s="456">
        <v>69</v>
      </c>
      <c r="Q402" s="456">
        <v>79</v>
      </c>
      <c r="R402" s="456"/>
      <c r="S402" s="456"/>
      <c r="T402" s="457" t="s">
        <v>486</v>
      </c>
      <c r="U402" s="458">
        <v>13.78</v>
      </c>
      <c r="V402" s="458">
        <v>65.483500000000006</v>
      </c>
      <c r="W402" s="458">
        <v>0.21043468965464579</v>
      </c>
      <c r="X402" s="458" t="e">
        <f>+#REF!</f>
        <v>#REF!</v>
      </c>
      <c r="Y402" s="458" t="e">
        <f>+#REF!</f>
        <v>#REF!</v>
      </c>
      <c r="Z402" s="458" t="e">
        <f>+#REF!</f>
        <v>#REF!</v>
      </c>
      <c r="AA402" s="458" t="e">
        <f>+#REF!</f>
        <v>#REF!</v>
      </c>
    </row>
    <row r="403" spans="1:27" s="179" customFormat="1" x14ac:dyDescent="0.2">
      <c r="A403" s="181"/>
      <c r="B403" s="459"/>
      <c r="C403" s="181"/>
      <c r="D403" s="181"/>
      <c r="E403" s="181"/>
      <c r="F403" s="181"/>
      <c r="G403" s="181"/>
      <c r="H403" s="181"/>
      <c r="I403" s="181"/>
      <c r="J403" s="181"/>
      <c r="K403" s="181"/>
      <c r="L403" s="181"/>
      <c r="M403" s="456"/>
      <c r="N403" s="460">
        <f>+G400/F400</f>
        <v>0</v>
      </c>
      <c r="O403" s="456">
        <v>74</v>
      </c>
      <c r="P403" s="456">
        <v>62</v>
      </c>
      <c r="Q403" s="456">
        <v>72</v>
      </c>
      <c r="R403" s="456"/>
      <c r="S403" s="456"/>
      <c r="T403" s="457" t="s">
        <v>487</v>
      </c>
      <c r="U403" s="458">
        <v>21.16</v>
      </c>
      <c r="V403" s="458">
        <v>99.465000000000003</v>
      </c>
      <c r="W403" s="458">
        <v>0.21273814909767255</v>
      </c>
      <c r="X403" s="458" t="e">
        <f>+#REF!</f>
        <v>#REF!</v>
      </c>
      <c r="Y403" s="458" t="e">
        <f>+#REF!</f>
        <v>#REF!</v>
      </c>
      <c r="Z403" s="458" t="e">
        <f>+#REF!</f>
        <v>#REF!</v>
      </c>
      <c r="AA403" s="458" t="e">
        <f>+#REF!</f>
        <v>#REF!</v>
      </c>
    </row>
    <row r="404" spans="1:27" s="179" customFormat="1" x14ac:dyDescent="0.2">
      <c r="A404" s="181"/>
      <c r="B404" s="459"/>
      <c r="C404" s="181"/>
      <c r="D404" s="181"/>
      <c r="E404" s="181"/>
      <c r="F404" s="181"/>
      <c r="G404" s="181"/>
      <c r="H404" s="181"/>
      <c r="I404" s="434"/>
      <c r="J404"/>
      <c r="K404"/>
      <c r="L404"/>
      <c r="M404" s="456"/>
      <c r="N404" s="460" t="e">
        <f>+G401/F401</f>
        <v>#DIV/0!</v>
      </c>
      <c r="O404" s="456">
        <v>69</v>
      </c>
      <c r="P404" s="456">
        <v>55</v>
      </c>
      <c r="Q404" s="456">
        <v>69</v>
      </c>
      <c r="R404" s="456"/>
      <c r="S404" s="456"/>
      <c r="T404" s="457" t="s">
        <v>237</v>
      </c>
      <c r="U404" s="458">
        <v>17.97</v>
      </c>
      <c r="V404" s="458">
        <v>77.092500000000001</v>
      </c>
      <c r="W404" s="458">
        <v>0.23309660472808633</v>
      </c>
      <c r="X404" s="458">
        <f t="shared" ref="X404:AA405" si="53">+D400</f>
        <v>83.999999999999986</v>
      </c>
      <c r="Y404" s="458">
        <f t="shared" si="53"/>
        <v>37.799999999999997</v>
      </c>
      <c r="Z404" s="458">
        <f t="shared" si="53"/>
        <v>19.89870442729768</v>
      </c>
      <c r="AA404" s="458">
        <f t="shared" si="53"/>
        <v>0</v>
      </c>
    </row>
    <row r="405" spans="1:27" s="179" customForma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 s="456"/>
      <c r="N405" s="460" t="e">
        <f>+#REF!/#REF!</f>
        <v>#REF!</v>
      </c>
      <c r="O405" s="456">
        <v>66</v>
      </c>
      <c r="P405" s="456">
        <v>55</v>
      </c>
      <c r="Q405" s="456">
        <v>66</v>
      </c>
      <c r="R405" s="456"/>
      <c r="S405" s="456"/>
      <c r="T405" s="457" t="s">
        <v>238</v>
      </c>
      <c r="U405" s="458">
        <v>35.130000000000003</v>
      </c>
      <c r="V405" s="458">
        <v>88.359499999999997</v>
      </c>
      <c r="W405" s="458">
        <v>0.39758033940889204</v>
      </c>
      <c r="X405" s="458">
        <f t="shared" si="53"/>
        <v>0</v>
      </c>
      <c r="Y405" s="458">
        <f t="shared" si="53"/>
        <v>0</v>
      </c>
      <c r="Z405" s="458">
        <f t="shared" si="53"/>
        <v>0</v>
      </c>
      <c r="AA405" s="458">
        <f t="shared" si="53"/>
        <v>0</v>
      </c>
    </row>
    <row r="406" spans="1:27" s="179" customForma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 s="456"/>
      <c r="N406" s="456"/>
      <c r="O406" s="456"/>
      <c r="P406" s="456"/>
      <c r="Q406" s="456"/>
      <c r="R406" s="456"/>
      <c r="S406" s="456"/>
      <c r="T406" s="457" t="s">
        <v>488</v>
      </c>
      <c r="U406" s="458">
        <v>26.51</v>
      </c>
      <c r="V406" s="458">
        <v>66.3005</v>
      </c>
      <c r="W406" s="458">
        <v>0.39984615500637249</v>
      </c>
      <c r="X406" s="458" t="e">
        <f>+#REF!</f>
        <v>#REF!</v>
      </c>
      <c r="Y406" s="458" t="e">
        <f>+#REF!</f>
        <v>#REF!</v>
      </c>
      <c r="Z406" s="458" t="e">
        <f>+#REF!</f>
        <v>#REF!</v>
      </c>
      <c r="AA406" s="458" t="e">
        <f>+#REF!</f>
        <v>#REF!</v>
      </c>
    </row>
    <row r="407" spans="1:27" x14ac:dyDescent="0.2">
      <c r="L407" s="181"/>
      <c r="M407" s="455"/>
      <c r="N407" s="455"/>
      <c r="O407" s="455"/>
      <c r="P407" s="455"/>
      <c r="Q407" s="455"/>
      <c r="R407" s="455"/>
      <c r="S407" s="455"/>
      <c r="T407" s="455"/>
      <c r="U407" s="455"/>
      <c r="V407" s="455"/>
      <c r="W407" s="455"/>
      <c r="X407" s="455"/>
      <c r="Y407" s="455"/>
      <c r="Z407" s="455"/>
      <c r="AA407" s="455"/>
    </row>
    <row r="408" spans="1:27" x14ac:dyDescent="0.2">
      <c r="L408" s="181"/>
      <c r="M408" s="455"/>
      <c r="N408" s="455"/>
      <c r="O408" s="455"/>
      <c r="P408" s="455"/>
      <c r="Q408" s="455"/>
      <c r="R408" s="455"/>
      <c r="S408" s="455"/>
      <c r="T408" s="455"/>
      <c r="U408" s="455"/>
      <c r="V408" s="455"/>
      <c r="W408" s="455"/>
      <c r="X408" s="455"/>
      <c r="Y408" s="455"/>
      <c r="Z408" s="455"/>
      <c r="AA408" s="455"/>
    </row>
    <row r="409" spans="1:27" x14ac:dyDescent="0.2">
      <c r="M409" s="455"/>
      <c r="N409" s="455"/>
      <c r="O409" s="455"/>
      <c r="P409" s="455"/>
      <c r="Q409" s="455"/>
      <c r="R409" s="455"/>
      <c r="S409" s="455"/>
      <c r="T409" s="455"/>
      <c r="U409" s="455"/>
      <c r="V409" s="455"/>
      <c r="W409" s="455"/>
      <c r="X409" s="455"/>
      <c r="Y409" s="455"/>
      <c r="Z409" s="455"/>
      <c r="AA409" s="455"/>
    </row>
    <row r="410" spans="1:27" x14ac:dyDescent="0.2">
      <c r="M410" s="455"/>
      <c r="N410" s="455"/>
      <c r="O410" s="455"/>
      <c r="P410" s="455"/>
      <c r="Q410" s="455"/>
      <c r="R410" s="455"/>
      <c r="S410" s="455"/>
      <c r="T410" s="455"/>
      <c r="U410" s="455"/>
      <c r="V410" s="455"/>
      <c r="W410" s="455"/>
      <c r="X410" s="455"/>
      <c r="Y410" s="455"/>
      <c r="Z410" s="455"/>
      <c r="AA410" s="455"/>
    </row>
    <row r="411" spans="1:27" x14ac:dyDescent="0.2">
      <c r="M411" s="455"/>
      <c r="N411" s="455"/>
      <c r="O411" s="455"/>
      <c r="P411" s="455"/>
      <c r="Q411" s="455"/>
      <c r="R411" s="455"/>
      <c r="S411" s="455"/>
      <c r="T411" s="455"/>
      <c r="U411" s="455"/>
      <c r="V411" s="455"/>
      <c r="W411" s="455"/>
      <c r="X411" s="455"/>
      <c r="Y411" s="455"/>
      <c r="Z411" s="455"/>
      <c r="AA411" s="455"/>
    </row>
    <row r="412" spans="1:27" x14ac:dyDescent="0.2">
      <c r="M412" s="455"/>
      <c r="N412" s="455"/>
      <c r="O412" s="455"/>
      <c r="P412" s="455"/>
      <c r="Q412" s="455"/>
      <c r="R412" s="455"/>
      <c r="S412" s="455"/>
      <c r="T412" s="455"/>
      <c r="U412" s="455"/>
      <c r="V412" s="455"/>
      <c r="W412" s="455"/>
      <c r="X412" s="455"/>
      <c r="Y412" s="455"/>
      <c r="Z412" s="455"/>
      <c r="AA412" s="455"/>
    </row>
    <row r="413" spans="1:27" x14ac:dyDescent="0.2">
      <c r="M413" s="455"/>
      <c r="N413" s="455"/>
      <c r="O413" s="455"/>
      <c r="P413" s="455"/>
      <c r="Q413" s="455"/>
      <c r="R413" s="455"/>
      <c r="S413" s="455"/>
      <c r="T413" s="455"/>
      <c r="U413" s="455"/>
      <c r="V413" s="455"/>
      <c r="W413" s="455"/>
      <c r="X413" s="455"/>
      <c r="Y413" s="455"/>
      <c r="Z413" s="455"/>
      <c r="AA413" s="455"/>
    </row>
    <row r="414" spans="1:27" x14ac:dyDescent="0.2">
      <c r="M414" s="455"/>
      <c r="N414" s="455"/>
      <c r="O414" s="455"/>
      <c r="P414" s="455"/>
      <c r="Q414" s="455"/>
      <c r="R414" s="455"/>
      <c r="S414" s="455"/>
      <c r="T414" s="455"/>
      <c r="U414" s="455"/>
      <c r="V414" s="455"/>
      <c r="W414" s="455"/>
      <c r="X414" s="455"/>
      <c r="Y414" s="455"/>
      <c r="Z414" s="455"/>
      <c r="AA414" s="455"/>
    </row>
    <row r="415" spans="1:27" x14ac:dyDescent="0.2">
      <c r="M415" s="455"/>
      <c r="N415" s="455"/>
      <c r="O415" s="455"/>
      <c r="P415" s="455"/>
      <c r="Q415" s="455"/>
      <c r="R415" s="455"/>
      <c r="S415" s="455"/>
      <c r="T415" s="455"/>
      <c r="U415" s="455"/>
      <c r="V415" s="455"/>
      <c r="W415" s="455"/>
      <c r="X415" s="455"/>
      <c r="Y415" s="455"/>
      <c r="Z415" s="455"/>
      <c r="AA415" s="455"/>
    </row>
    <row r="416" spans="1:27" x14ac:dyDescent="0.2">
      <c r="M416" s="455"/>
      <c r="N416" s="455"/>
      <c r="O416" s="455"/>
      <c r="P416" s="455"/>
      <c r="Q416" s="455"/>
      <c r="R416" s="455"/>
      <c r="S416" s="455"/>
      <c r="T416" s="455"/>
      <c r="U416" s="455"/>
      <c r="V416" s="455"/>
      <c r="W416" s="455"/>
      <c r="X416" s="455"/>
      <c r="Y416" s="455"/>
      <c r="Z416" s="455"/>
      <c r="AA416" s="455"/>
    </row>
  </sheetData>
  <mergeCells count="15">
    <mergeCell ref="J378:J379"/>
    <mergeCell ref="H36:I37"/>
    <mergeCell ref="B26:B27"/>
    <mergeCell ref="C27:G27"/>
    <mergeCell ref="C36:C37"/>
    <mergeCell ref="D36:F37"/>
    <mergeCell ref="G36:G37"/>
    <mergeCell ref="H40:I41"/>
    <mergeCell ref="G40:G41"/>
    <mergeCell ref="D40:F41"/>
    <mergeCell ref="C40:C41"/>
    <mergeCell ref="H38:I39"/>
    <mergeCell ref="G38:G39"/>
    <mergeCell ref="D38:F39"/>
    <mergeCell ref="C38:C3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125825" r:id="rId3">
          <objectPr defaultSize="0" autoPict="0" r:id="rId4">
            <anchor moveWithCells="1" sizeWithCells="1">
              <from>
                <xdr:col>1</xdr:col>
                <xdr:colOff>66675</xdr:colOff>
                <xdr:row>127</xdr:row>
                <xdr:rowOff>19050</xdr:rowOff>
              </from>
              <to>
                <xdr:col>2</xdr:col>
                <xdr:colOff>247650</xdr:colOff>
                <xdr:row>129</xdr:row>
                <xdr:rowOff>114300</xdr:rowOff>
              </to>
            </anchor>
          </objectPr>
        </oleObject>
      </mc:Choice>
      <mc:Fallback>
        <oleObject progId="Equation.3" shapeId="2125825" r:id="rId3"/>
      </mc:Fallback>
    </mc:AlternateContent>
    <mc:AlternateContent xmlns:mc="http://schemas.openxmlformats.org/markup-compatibility/2006">
      <mc:Choice Requires="x14">
        <oleObject progId="Equation.3" shapeId="2125826" r:id="rId5">
          <objectPr defaultSize="0" autoPict="0" r:id="rId6">
            <anchor moveWithCells="1" sizeWithCells="1">
              <from>
                <xdr:col>1</xdr:col>
                <xdr:colOff>19050</xdr:colOff>
                <xdr:row>129</xdr:row>
                <xdr:rowOff>76200</xdr:rowOff>
              </from>
              <to>
                <xdr:col>2</xdr:col>
                <xdr:colOff>257175</xdr:colOff>
                <xdr:row>132</xdr:row>
                <xdr:rowOff>9525</xdr:rowOff>
              </to>
            </anchor>
          </objectPr>
        </oleObject>
      </mc:Choice>
      <mc:Fallback>
        <oleObject progId="Equation.3" shapeId="2125826" r:id="rId5"/>
      </mc:Fallback>
    </mc:AlternateContent>
    <mc:AlternateContent xmlns:mc="http://schemas.openxmlformats.org/markup-compatibility/2006">
      <mc:Choice Requires="x14">
        <oleObject progId="Equation.3" shapeId="2125827" r:id="rId7">
          <objectPr defaultSize="0" autoPict="0" r:id="rId8">
            <anchor moveWithCells="1" sizeWithCells="1">
              <from>
                <xdr:col>1</xdr:col>
                <xdr:colOff>123825</xdr:colOff>
                <xdr:row>217</xdr:row>
                <xdr:rowOff>66675</xdr:rowOff>
              </from>
              <to>
                <xdr:col>3</xdr:col>
                <xdr:colOff>133350</xdr:colOff>
                <xdr:row>229</xdr:row>
                <xdr:rowOff>123825</xdr:rowOff>
              </to>
            </anchor>
          </objectPr>
        </oleObject>
      </mc:Choice>
      <mc:Fallback>
        <oleObject progId="Equation.3" shapeId="2125827" r:id="rId7"/>
      </mc:Fallback>
    </mc:AlternateContent>
    <mc:AlternateContent xmlns:mc="http://schemas.openxmlformats.org/markup-compatibility/2006">
      <mc:Choice Requires="x14">
        <oleObject progId="Equation.3" shapeId="2125828" r:id="rId9">
          <objectPr defaultSize="0" autoPict="0" r:id="rId10">
            <anchor moveWithCells="1" sizeWithCells="1">
              <from>
                <xdr:col>5</xdr:col>
                <xdr:colOff>28575</xdr:colOff>
                <xdr:row>241</xdr:row>
                <xdr:rowOff>19050</xdr:rowOff>
              </from>
              <to>
                <xdr:col>6</xdr:col>
                <xdr:colOff>552450</xdr:colOff>
                <xdr:row>243</xdr:row>
                <xdr:rowOff>142875</xdr:rowOff>
              </to>
            </anchor>
          </objectPr>
        </oleObject>
      </mc:Choice>
      <mc:Fallback>
        <oleObject progId="Equation.3" shapeId="2125828" r:id="rId9"/>
      </mc:Fallback>
    </mc:AlternateContent>
    <mc:AlternateContent xmlns:mc="http://schemas.openxmlformats.org/markup-compatibility/2006">
      <mc:Choice Requires="x14">
        <oleObject progId="Equation.3" shapeId="2125829" r:id="rId11">
          <objectPr defaultSize="0" autoPict="0" r:id="rId12">
            <anchor moveWithCells="1" sizeWithCells="1">
              <from>
                <xdr:col>3</xdr:col>
                <xdr:colOff>9525</xdr:colOff>
                <xdr:row>133</xdr:row>
                <xdr:rowOff>152400</xdr:rowOff>
              </from>
              <to>
                <xdr:col>4</xdr:col>
                <xdr:colOff>361950</xdr:colOff>
                <xdr:row>135</xdr:row>
                <xdr:rowOff>9525</xdr:rowOff>
              </to>
            </anchor>
          </objectPr>
        </oleObject>
      </mc:Choice>
      <mc:Fallback>
        <oleObject progId="Equation.3" shapeId="2125829" r:id="rId11"/>
      </mc:Fallback>
    </mc:AlternateContent>
    <mc:AlternateContent xmlns:mc="http://schemas.openxmlformats.org/markup-compatibility/2006">
      <mc:Choice Requires="x14">
        <oleObject progId="Equation.3" shapeId="2125830" r:id="rId13">
          <objectPr defaultSize="0" autoPict="0" r:id="rId10">
            <anchor moveWithCells="1" sizeWithCells="1">
              <from>
                <xdr:col>1</xdr:col>
                <xdr:colOff>552450</xdr:colOff>
                <xdr:row>249</xdr:row>
                <xdr:rowOff>38100</xdr:rowOff>
              </from>
              <to>
                <xdr:col>3</xdr:col>
                <xdr:colOff>228600</xdr:colOff>
                <xdr:row>252</xdr:row>
                <xdr:rowOff>9525</xdr:rowOff>
              </to>
            </anchor>
          </objectPr>
        </oleObject>
      </mc:Choice>
      <mc:Fallback>
        <oleObject progId="Equation.3" shapeId="2125830" r:id="rId13"/>
      </mc:Fallback>
    </mc:AlternateContent>
    <mc:AlternateContent xmlns:mc="http://schemas.openxmlformats.org/markup-compatibility/2006">
      <mc:Choice Requires="x14">
        <oleObject progId="Equation.3" shapeId="2125831" r:id="rId14">
          <objectPr defaultSize="0" autoPict="0" r:id="rId8">
            <anchor moveWithCells="1" sizeWithCells="1">
              <from>
                <xdr:col>1</xdr:col>
                <xdr:colOff>76200</xdr:colOff>
                <xdr:row>262</xdr:row>
                <xdr:rowOff>0</xdr:rowOff>
              </from>
              <to>
                <xdr:col>2</xdr:col>
                <xdr:colOff>581025</xdr:colOff>
                <xdr:row>263</xdr:row>
                <xdr:rowOff>95250</xdr:rowOff>
              </to>
            </anchor>
          </objectPr>
        </oleObject>
      </mc:Choice>
      <mc:Fallback>
        <oleObject progId="Equation.3" shapeId="2125831" r:id="rId14"/>
      </mc:Fallback>
    </mc:AlternateContent>
    <mc:AlternateContent xmlns:mc="http://schemas.openxmlformats.org/markup-compatibility/2006">
      <mc:Choice Requires="x14">
        <oleObject progId="Equation.3" shapeId="2125832" r:id="rId15">
          <objectPr defaultSize="0" autoPict="0" r:id="rId16">
            <anchor moveWithCells="1" sizeWithCells="1">
              <from>
                <xdr:col>1</xdr:col>
                <xdr:colOff>0</xdr:colOff>
                <xdr:row>271</xdr:row>
                <xdr:rowOff>0</xdr:rowOff>
              </from>
              <to>
                <xdr:col>3</xdr:col>
                <xdr:colOff>381000</xdr:colOff>
                <xdr:row>273</xdr:row>
                <xdr:rowOff>104775</xdr:rowOff>
              </to>
            </anchor>
          </objectPr>
        </oleObject>
      </mc:Choice>
      <mc:Fallback>
        <oleObject progId="Equation.3" shapeId="2125832" r:id="rId15"/>
      </mc:Fallback>
    </mc:AlternateContent>
    <mc:AlternateContent xmlns:mc="http://schemas.openxmlformats.org/markup-compatibility/2006">
      <mc:Choice Requires="x14">
        <oleObject progId="Equation.3" shapeId="2125833" r:id="rId17">
          <objectPr defaultSize="0" autoPict="0" r:id="rId18">
            <anchor moveWithCells="1" sizeWithCells="1">
              <from>
                <xdr:col>8</xdr:col>
                <xdr:colOff>228600</xdr:colOff>
                <xdr:row>391</xdr:row>
                <xdr:rowOff>38100</xdr:rowOff>
              </from>
              <to>
                <xdr:col>10</xdr:col>
                <xdr:colOff>9525</xdr:colOff>
                <xdr:row>392</xdr:row>
                <xdr:rowOff>238125</xdr:rowOff>
              </to>
            </anchor>
          </objectPr>
        </oleObject>
      </mc:Choice>
      <mc:Fallback>
        <oleObject progId="Equation.3" shapeId="2125833" r:id="rId17"/>
      </mc:Fallback>
    </mc:AlternateContent>
    <mc:AlternateContent xmlns:mc="http://schemas.openxmlformats.org/markup-compatibility/2006">
      <mc:Choice Requires="x14">
        <oleObject progId="AutoCAD.Drawing.15" shapeId="2125834" r:id="rId19">
          <objectPr defaultSize="0" autoPict="0" r:id="rId20">
            <anchor moveWithCells="1">
              <from>
                <xdr:col>6</xdr:col>
                <xdr:colOff>161925</xdr:colOff>
                <xdr:row>217</xdr:row>
                <xdr:rowOff>152400</xdr:rowOff>
              </from>
              <to>
                <xdr:col>9</xdr:col>
                <xdr:colOff>352425</xdr:colOff>
                <xdr:row>239</xdr:row>
                <xdr:rowOff>38100</xdr:rowOff>
              </to>
            </anchor>
          </objectPr>
        </oleObject>
      </mc:Choice>
      <mc:Fallback>
        <oleObject progId="AutoCAD.Drawing.15" shapeId="2125834" r:id="rId19"/>
      </mc:Fallback>
    </mc:AlternateContent>
    <mc:AlternateContent xmlns:mc="http://schemas.openxmlformats.org/markup-compatibility/2006">
      <mc:Choice Requires="x14">
        <oleObject progId="Equation.3" shapeId="2125835" r:id="rId21">
          <objectPr defaultSize="0" autoPict="0" r:id="rId22">
            <anchor moveWithCells="1" sizeWithCells="1">
              <from>
                <xdr:col>3</xdr:col>
                <xdr:colOff>581025</xdr:colOff>
                <xdr:row>266</xdr:row>
                <xdr:rowOff>38100</xdr:rowOff>
              </from>
              <to>
                <xdr:col>5</xdr:col>
                <xdr:colOff>438150</xdr:colOff>
                <xdr:row>267</xdr:row>
                <xdr:rowOff>152400</xdr:rowOff>
              </to>
            </anchor>
          </objectPr>
        </oleObject>
      </mc:Choice>
      <mc:Fallback>
        <oleObject progId="Equation.3" shapeId="2125835" r:id="rId21"/>
      </mc:Fallback>
    </mc:AlternateContent>
    <mc:AlternateContent xmlns:mc="http://schemas.openxmlformats.org/markup-compatibility/2006">
      <mc:Choice Requires="x14">
        <oleObject progId="Equation.3" shapeId="2125836" r:id="rId23">
          <objectPr defaultSize="0" autoPict="0" r:id="rId24">
            <anchor moveWithCells="1" sizeWithCells="1">
              <from>
                <xdr:col>1</xdr:col>
                <xdr:colOff>114300</xdr:colOff>
                <xdr:row>230</xdr:row>
                <xdr:rowOff>152400</xdr:rowOff>
              </from>
              <to>
                <xdr:col>3</xdr:col>
                <xdr:colOff>581025</xdr:colOff>
                <xdr:row>233</xdr:row>
                <xdr:rowOff>76200</xdr:rowOff>
              </to>
            </anchor>
          </objectPr>
        </oleObject>
      </mc:Choice>
      <mc:Fallback>
        <oleObject progId="Equation.3" shapeId="2125836" r:id="rId23"/>
      </mc:Fallback>
    </mc:AlternateContent>
    <mc:AlternateContent xmlns:mc="http://schemas.openxmlformats.org/markup-compatibility/2006">
      <mc:Choice Requires="x14">
        <oleObject progId="Equation.3" shapeId="2125837" r:id="rId25">
          <objectPr defaultSize="0" autoPict="0" r:id="rId26">
            <anchor moveWithCells="1" sizeWithCells="1">
              <from>
                <xdr:col>1</xdr:col>
                <xdr:colOff>152400</xdr:colOff>
                <xdr:row>241</xdr:row>
                <xdr:rowOff>38100</xdr:rowOff>
              </from>
              <to>
                <xdr:col>3</xdr:col>
                <xdr:colOff>781050</xdr:colOff>
                <xdr:row>244</xdr:row>
                <xdr:rowOff>19050</xdr:rowOff>
              </to>
            </anchor>
          </objectPr>
        </oleObject>
      </mc:Choice>
      <mc:Fallback>
        <oleObject progId="Equation.3" shapeId="2125837" r:id="rId2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Estribo</vt:lpstr>
      <vt:lpstr>siguiente</vt:lpstr>
      <vt:lpstr>Estribo!Área_de_impresión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Irvin</cp:lastModifiedBy>
  <cp:lastPrinted>2010-07-13T10:10:19Z</cp:lastPrinted>
  <dcterms:created xsi:type="dcterms:W3CDTF">1996-11-27T10:00:04Z</dcterms:created>
  <dcterms:modified xsi:type="dcterms:W3CDTF">2013-08-05T02:57:23Z</dcterms:modified>
</cp:coreProperties>
</file>