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B241430-B7C5-495C-AC20-2E8AC944E9B8}" xr6:coauthVersionLast="47" xr6:coauthVersionMax="47" xr10:uidLastSave="{00000000-0000-0000-0000-000000000000}"/>
  <bookViews>
    <workbookView xWindow="-120" yWindow="-120" windowWidth="20730" windowHeight="11160" tabRatio="160" xr2:uid="{00000000-000D-0000-FFFF-FFFF00000000}"/>
  </bookViews>
  <sheets>
    <sheet name="LRFD" sheetId="1" r:id="rId1"/>
  </sheets>
  <definedNames>
    <definedName name="_xlnm.Print_Area" localSheetId="0">LRFD!$A$1:$Q$419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5" i="1"/>
  <c r="D100" i="1"/>
  <c r="M100" i="1" l="1"/>
  <c r="M87" i="1"/>
  <c r="M101" i="1" s="1"/>
  <c r="N72" i="1" l="1"/>
  <c r="L72" i="1"/>
  <c r="M72" i="1" s="1"/>
  <c r="P63" i="1"/>
  <c r="M94" i="1" s="1"/>
  <c r="N55" i="1"/>
  <c r="O36" i="1"/>
  <c r="O37" i="1" s="1"/>
  <c r="N46" i="1" l="1"/>
  <c r="N47" i="1"/>
  <c r="O23" i="1"/>
  <c r="N27" i="1"/>
  <c r="P19" i="1"/>
  <c r="N48" i="1" s="1"/>
  <c r="M80" i="1" s="1"/>
  <c r="M98" i="1" s="1"/>
  <c r="N14" i="1"/>
  <c r="P8" i="1"/>
  <c r="P7" i="1"/>
  <c r="Q80" i="1" l="1"/>
  <c r="M99" i="1" s="1"/>
  <c r="N74" i="1"/>
  <c r="N94" i="1" s="1"/>
  <c r="N102" i="1"/>
  <c r="M89" i="1"/>
  <c r="M102" i="1" s="1"/>
  <c r="L13" i="1"/>
  <c r="L79" i="1"/>
  <c r="L74" i="1"/>
  <c r="M74" i="1" s="1"/>
  <c r="N57" i="1"/>
  <c r="L56" i="1"/>
  <c r="M56" i="1" s="1"/>
  <c r="N56" i="1"/>
  <c r="N95" i="1" s="1"/>
  <c r="L57" i="1"/>
  <c r="M57" i="1" s="1"/>
  <c r="L55" i="1"/>
  <c r="M55" i="1" s="1"/>
  <c r="L58" i="1"/>
  <c r="M58" i="1" s="1"/>
  <c r="N58" i="1"/>
  <c r="O74" i="1"/>
  <c r="C387" i="1"/>
  <c r="C381" i="1"/>
  <c r="E388" i="1" s="1"/>
  <c r="C369" i="1"/>
  <c r="C370" i="1" s="1"/>
  <c r="C372" i="1" s="1"/>
  <c r="G345" i="1"/>
  <c r="D318" i="1"/>
  <c r="D320" i="1"/>
  <c r="G352" i="1" s="1"/>
  <c r="D317" i="1"/>
  <c r="D294" i="1"/>
  <c r="D164" i="1"/>
  <c r="F300" i="1"/>
  <c r="D300" i="1"/>
  <c r="G299" i="1"/>
  <c r="F290" i="1"/>
  <c r="C337" i="1" s="1"/>
  <c r="D290" i="1"/>
  <c r="G289" i="1"/>
  <c r="C276" i="1"/>
  <c r="C277" i="1" s="1"/>
  <c r="E268" i="1"/>
  <c r="E21" i="1"/>
  <c r="F18" i="1"/>
  <c r="G224" i="1"/>
  <c r="D201" i="1"/>
  <c r="G231" i="1" s="1"/>
  <c r="D199" i="1"/>
  <c r="D198" i="1"/>
  <c r="F182" i="1"/>
  <c r="D405" i="1" s="1"/>
  <c r="D182" i="1"/>
  <c r="C405" i="1" s="1"/>
  <c r="G181" i="1"/>
  <c r="D180" i="1"/>
  <c r="D179" i="1"/>
  <c r="F170" i="1"/>
  <c r="G406" i="1" s="1"/>
  <c r="D170" i="1"/>
  <c r="F406" i="1" s="1"/>
  <c r="G169" i="1"/>
  <c r="F160" i="1"/>
  <c r="G414" i="1" s="1"/>
  <c r="C216" i="1" s="1"/>
  <c r="D160" i="1"/>
  <c r="F414" i="1" s="1"/>
  <c r="G159" i="1"/>
  <c r="F393" i="1" s="1"/>
  <c r="C137" i="1"/>
  <c r="C138" i="1" s="1"/>
  <c r="E129" i="1"/>
  <c r="D99" i="1"/>
  <c r="G55" i="1"/>
  <c r="B59" i="1" s="1"/>
  <c r="G40" i="1"/>
  <c r="B43" i="1" s="1"/>
  <c r="B29" i="1"/>
  <c r="H27" i="1"/>
  <c r="F26" i="1"/>
  <c r="D26" i="1"/>
  <c r="B26" i="1"/>
  <c r="D175" i="1"/>
  <c r="D178" i="1" s="1"/>
  <c r="F17" i="1"/>
  <c r="F19" i="1" s="1"/>
  <c r="G13" i="1"/>
  <c r="G12" i="1"/>
  <c r="E37" i="1" l="1"/>
  <c r="N98" i="1"/>
  <c r="O98" i="1" s="1"/>
  <c r="N99" i="1"/>
  <c r="N100" i="1"/>
  <c r="O100" i="1" s="1"/>
  <c r="N96" i="1"/>
  <c r="N101" i="1"/>
  <c r="O101" i="1" s="1"/>
  <c r="O94" i="1"/>
  <c r="O99" i="1"/>
  <c r="E51" i="1"/>
  <c r="O102" i="1"/>
  <c r="O57" i="1"/>
  <c r="N73" i="1"/>
  <c r="L73" i="1"/>
  <c r="M73" i="1" s="1"/>
  <c r="O58" i="1"/>
  <c r="O72" i="1"/>
  <c r="M59" i="1"/>
  <c r="L61" i="1" s="1"/>
  <c r="M93" i="1" s="1"/>
  <c r="O55" i="1"/>
  <c r="L67" i="1"/>
  <c r="M96" i="1" s="1"/>
  <c r="O96" i="1" s="1"/>
  <c r="O56" i="1"/>
  <c r="G416" i="1"/>
  <c r="E352" i="1"/>
  <c r="D319" i="1"/>
  <c r="H329" i="1" s="1"/>
  <c r="C240" i="1"/>
  <c r="G39" i="1"/>
  <c r="E231" i="1"/>
  <c r="E52" i="1"/>
  <c r="C121" i="1" s="1"/>
  <c r="E32" i="1"/>
  <c r="D101" i="1" s="1"/>
  <c r="D200" i="1"/>
  <c r="H209" i="1" s="1"/>
  <c r="D46" i="1"/>
  <c r="C44" i="1" s="1"/>
  <c r="B46" i="1"/>
  <c r="O73" i="1" l="1"/>
  <c r="O75" i="1" s="1"/>
  <c r="N77" i="1" s="1"/>
  <c r="N97" i="1" s="1"/>
  <c r="M75" i="1"/>
  <c r="L77" i="1" s="1"/>
  <c r="M97" i="1" s="1"/>
  <c r="O59" i="1"/>
  <c r="N61" i="1" s="1"/>
  <c r="N93" i="1" s="1"/>
  <c r="O93" i="1" s="1"/>
  <c r="F106" i="1"/>
  <c r="P64" i="1"/>
  <c r="M95" i="1" s="1"/>
  <c r="O95" i="1" s="1"/>
  <c r="E337" i="1"/>
  <c r="D337" i="1"/>
  <c r="G54" i="1"/>
  <c r="C55" i="1" s="1"/>
  <c r="D216" i="1"/>
  <c r="E216" i="1"/>
  <c r="E38" i="1"/>
  <c r="C39" i="1"/>
  <c r="G42" i="1"/>
  <c r="D48" i="1" s="1"/>
  <c r="G41" i="1"/>
  <c r="O97" i="1" l="1"/>
  <c r="O103" i="1" s="1"/>
  <c r="M103" i="1"/>
  <c r="D106" i="1"/>
  <c r="C374" i="1" s="1"/>
  <c r="C386" i="1" s="1"/>
  <c r="C388" i="1" s="1"/>
  <c r="D109" i="1"/>
  <c r="F109" i="1"/>
  <c r="C120" i="1"/>
  <c r="D338" i="1"/>
  <c r="D339" i="1"/>
  <c r="C343" i="1" s="1"/>
  <c r="G56" i="1"/>
  <c r="G57" i="1"/>
  <c r="D60" i="1" s="1"/>
  <c r="D218" i="1"/>
  <c r="D217" i="1"/>
  <c r="E111" i="1" l="1"/>
  <c r="C236" i="1" s="1"/>
  <c r="C251" i="1" s="1"/>
  <c r="C260" i="1" s="1"/>
  <c r="C222" i="1"/>
  <c r="C393" i="1"/>
  <c r="E113" i="1" l="1"/>
  <c r="C122" i="1" s="1"/>
  <c r="E132" i="1" s="1"/>
  <c r="C144" i="1" s="1"/>
  <c r="C141" i="1" s="1"/>
  <c r="E236" i="1"/>
  <c r="C399" i="1"/>
  <c r="C396" i="1"/>
  <c r="E402" i="1" s="1"/>
  <c r="F240" i="1"/>
  <c r="F241" i="1" s="1"/>
  <c r="C259" i="1" s="1"/>
  <c r="C241" i="1"/>
  <c r="C242" i="1" s="1"/>
  <c r="C243" i="1" s="1"/>
  <c r="C258" i="1" s="1"/>
  <c r="C140" i="1"/>
  <c r="C145" i="1" s="1"/>
  <c r="F145" i="1" s="1"/>
  <c r="D165" i="1" s="1"/>
  <c r="D168" i="1" s="1"/>
  <c r="G236" i="1"/>
  <c r="D192" i="1"/>
  <c r="D195" i="1" s="1"/>
  <c r="E224" i="1" s="1"/>
  <c r="H224" i="1" s="1"/>
  <c r="C400" i="1" l="1"/>
  <c r="C402" i="1" s="1"/>
  <c r="C401" i="1"/>
  <c r="D158" i="1"/>
  <c r="E271" i="1"/>
  <c r="C283" i="1" s="1"/>
  <c r="C279" i="1" s="1"/>
  <c r="C284" i="1" s="1"/>
  <c r="C280" i="1" s="1"/>
  <c r="C285" i="1" s="1"/>
  <c r="F285" i="1" s="1"/>
  <c r="D288" i="1" s="1"/>
  <c r="C231" i="1"/>
  <c r="E232" i="1" s="1"/>
  <c r="D311" i="1"/>
  <c r="D314" i="1" s="1"/>
  <c r="E345" i="1" s="1"/>
  <c r="H345" i="1" l="1"/>
  <c r="C352" i="1"/>
  <c r="E353" i="1" s="1"/>
  <c r="D295" i="1"/>
  <c r="D298" i="1" s="1"/>
</calcChain>
</file>

<file path=xl/sharedStrings.xml><?xml version="1.0" encoding="utf-8"?>
<sst xmlns="http://schemas.openxmlformats.org/spreadsheetml/2006/main" count="544" uniqueCount="315">
  <si>
    <t>DISEÑO DE PUENTE TIPO LOSA : MÉTODO LRFD</t>
  </si>
  <si>
    <t>SE CONSIDERA:</t>
  </si>
  <si>
    <t>LUZ DEL PUENTE (L-&gt;mts)</t>
  </si>
  <si>
    <t>m</t>
  </si>
  <si>
    <t>SOBRECARGA VEHICULAR</t>
  </si>
  <si>
    <t>HL-93</t>
  </si>
  <si>
    <t>NUMERO DE VÍAS</t>
  </si>
  <si>
    <t>MATERIALES:</t>
  </si>
  <si>
    <t>RESISTENCIA DEL CONCRETO (f´c)</t>
  </si>
  <si>
    <t>FLUENCIA DEL ACERO (f´y)</t>
  </si>
  <si>
    <t>Kg./cm²</t>
  </si>
  <si>
    <t>CARPETA ASFÁLTICA</t>
  </si>
  <si>
    <t>DENSIDAD DEL CONCRETO</t>
  </si>
  <si>
    <t>Tn/m³</t>
  </si>
  <si>
    <t>DENSIDAD DEL ASFALTO</t>
  </si>
  <si>
    <t>BOMBEO</t>
  </si>
  <si>
    <t>A. PREDIMENSIONAMIENTO</t>
  </si>
  <si>
    <t>LUZ DEL PUENTE</t>
  </si>
  <si>
    <t>LUZ (L,S) =</t>
  </si>
  <si>
    <t>ANCHO DE CALZADA</t>
  </si>
  <si>
    <t xml:space="preserve">PERALTE DE LOSA </t>
  </si>
  <si>
    <t>h=(1.2(S+3))/30 =</t>
  </si>
  <si>
    <t xml:space="preserve">SE ASUME </t>
  </si>
  <si>
    <t>h =</t>
  </si>
  <si>
    <t xml:space="preserve">ANCHO DE SARDINEL </t>
  </si>
  <si>
    <t>b =</t>
  </si>
  <si>
    <t>Entre 0.20 a 0.25m</t>
  </si>
  <si>
    <t>H. DE LA VIGA BORDE</t>
  </si>
  <si>
    <t>hb =</t>
  </si>
  <si>
    <t>B. DISEÑO DE FRANJA INTERIOR</t>
  </si>
  <si>
    <t xml:space="preserve">METRADO DE CARGAS </t>
  </si>
  <si>
    <t>b.1 Momentos por Carga Muerta</t>
  </si>
  <si>
    <t>(Franja Interior de 1.00 m de ancho)</t>
  </si>
  <si>
    <t>DC</t>
  </si>
  <si>
    <t>Peso Concreto  =</t>
  </si>
  <si>
    <t>Tn/m</t>
  </si>
  <si>
    <t>MDC = DC*L^2/8 =</t>
  </si>
  <si>
    <t>Tn.m</t>
  </si>
  <si>
    <t>W =</t>
  </si>
  <si>
    <t>L =</t>
  </si>
  <si>
    <t>Tn-m</t>
  </si>
  <si>
    <t>Mom Máx. por Peso Propio por 1 m de ancho de Losa</t>
  </si>
  <si>
    <t>DW</t>
  </si>
  <si>
    <t>Peso Asfalto  =</t>
  </si>
  <si>
    <t>MDW = DW*L^2/8 =</t>
  </si>
  <si>
    <t>Mom Máx. por Carg Muerta por 1 m de ancho de Losa</t>
  </si>
  <si>
    <t>b.2 Momentos por Carga Viva</t>
  </si>
  <si>
    <t>Camión HL-93</t>
  </si>
  <si>
    <t>Tandem de Diseño</t>
  </si>
  <si>
    <t>X =</t>
  </si>
  <si>
    <t>M =</t>
  </si>
  <si>
    <t>* Momento generado por S/C Equivalente</t>
  </si>
  <si>
    <t>Ms/c eq =</t>
  </si>
  <si>
    <t>* Momento LL+IM</t>
  </si>
  <si>
    <t>M LL+IM =</t>
  </si>
  <si>
    <t>DETERMINACIÓN DEL ANCHO DE FAJA CRÍTICO</t>
  </si>
  <si>
    <t>L1 =</t>
  </si>
  <si>
    <t>mm</t>
  </si>
  <si>
    <t>W1 =</t>
  </si>
  <si>
    <t>NL =</t>
  </si>
  <si>
    <t>1. Un Carril Cargado:</t>
  </si>
  <si>
    <t>E = 0.25+0.42(L1*W1)^1/2</t>
  </si>
  <si>
    <t>≤</t>
  </si>
  <si>
    <t>W/NL</t>
  </si>
  <si>
    <t>E =</t>
  </si>
  <si>
    <t>2. Dos o mas Carriles Cargados</t>
  </si>
  <si>
    <t>E = 2.1+0.12(L1*W1)^1/2</t>
  </si>
  <si>
    <t xml:space="preserve">ANCHO DE FAJA CRÍTICO ES </t>
  </si>
  <si>
    <t>E</t>
  </si>
  <si>
    <t>b.2 Resumen de momentos flectores y criterios LRFD aplicables (Tabla 3.4.1-1)</t>
  </si>
  <si>
    <t>MOMENTOS POSITIVOS POR CARGAS (FRANJA INTERIOR)</t>
  </si>
  <si>
    <t>CARGA</t>
  </si>
  <si>
    <t>M(+) T-m</t>
  </si>
  <si>
    <t>ϒ</t>
  </si>
  <si>
    <t>RESISTENCIA I</t>
  </si>
  <si>
    <t>SERVICIO I</t>
  </si>
  <si>
    <t>FATIGA I</t>
  </si>
  <si>
    <t>LL+IM</t>
  </si>
  <si>
    <t>SELECCIÓN DE MODIFICADORES DE CARGA (n)</t>
  </si>
  <si>
    <t>Factor de Ductibilidad (nD) =</t>
  </si>
  <si>
    <t>Factor de Redundancia (NR) =</t>
  </si>
  <si>
    <t>Sector de Importancia Operática (nI) =</t>
  </si>
  <si>
    <t>n = nD * nR * n1</t>
  </si>
  <si>
    <t>n =</t>
  </si>
  <si>
    <t>RESISTENCIA 1  Estado Limite</t>
  </si>
  <si>
    <t>Mu = n(1.25 DC + 1.50 DW + 1.75 (LL + IM))</t>
  </si>
  <si>
    <t>Mu =</t>
  </si>
  <si>
    <t>As PRINCIPAL PARALELO AL TRÁFICO</t>
  </si>
  <si>
    <t>Utilizando As Φ y recubrimiento r=2.5cm</t>
  </si>
  <si>
    <t>z=2.5+ (2.54/2)</t>
  </si>
  <si>
    <t>z=</t>
  </si>
  <si>
    <t>d=</t>
  </si>
  <si>
    <t>a=</t>
  </si>
  <si>
    <t>a'=</t>
  </si>
  <si>
    <t>a''=</t>
  </si>
  <si>
    <t>ok!</t>
  </si>
  <si>
    <t>Mu = 0.9 * As * fy * (d - (As * fy / (1.70 *f´c * b)))</t>
  </si>
  <si>
    <t>As =</t>
  </si>
  <si>
    <r>
      <t>cm</t>
    </r>
    <r>
      <rPr>
        <sz val="10"/>
        <rFont val="Arial"/>
        <family val="2"/>
      </rPr>
      <t/>
    </r>
  </si>
  <si>
    <t>As asumido =</t>
  </si>
  <si>
    <t>cm²</t>
  </si>
  <si>
    <t>Diámetro</t>
  </si>
  <si>
    <t>Perímetro</t>
  </si>
  <si>
    <t>Peso</t>
  </si>
  <si>
    <t>Área</t>
  </si>
  <si>
    <t>pulg.</t>
  </si>
  <si>
    <t>cm.,</t>
  </si>
  <si>
    <t>cm.</t>
  </si>
  <si>
    <t>Kg./ml</t>
  </si>
  <si>
    <t>Diámetro a usar =</t>
  </si>
  <si>
    <t>"</t>
  </si>
  <si>
    <t xml:space="preserve">Área = </t>
  </si>
  <si>
    <t>Espaciamiento (S) =</t>
  </si>
  <si>
    <t>m.</t>
  </si>
  <si>
    <t>S  asumido =</t>
  </si>
  <si>
    <t>Asp (final) =</t>
  </si>
  <si>
    <t>USAR: Ø</t>
  </si>
  <si>
    <t>"       @</t>
  </si>
  <si>
    <t>ACERO DE DISTRIBUCIÓN</t>
  </si>
  <si>
    <t>%Asr = 5*S/ S^0.5 =</t>
  </si>
  <si>
    <t>% de As</t>
  </si>
  <si>
    <t>&lt;</t>
  </si>
  <si>
    <t>OK!</t>
  </si>
  <si>
    <t>Asr =</t>
  </si>
  <si>
    <t>ACERO DE TEMPERATURA</t>
  </si>
  <si>
    <t>Ast = 0.18bh/2(b+h) =</t>
  </si>
  <si>
    <t>(total en cada dirección, en cada cara)</t>
  </si>
  <si>
    <t>Smax= 3t=</t>
  </si>
  <si>
    <t>Smax= t=</t>
  </si>
  <si>
    <t xml:space="preserve">  Ø         "      @          cm.</t>
  </si>
  <si>
    <t xml:space="preserve">   Ø        "      @          cm.</t>
  </si>
  <si>
    <t>Ø        "          @          cm.</t>
  </si>
  <si>
    <t>b.2 Revisión de fisuración por distribución de armadura</t>
  </si>
  <si>
    <t>SERVICIO 1  Estado Limite</t>
  </si>
  <si>
    <t>Mu = n(1.0 DC + 1.0 DW + 1.0 (LL + IM))</t>
  </si>
  <si>
    <t>Ms =</t>
  </si>
  <si>
    <t>Tn-m/m</t>
  </si>
  <si>
    <t>* Para un ancho tributario de 0.15m</t>
  </si>
  <si>
    <t xml:space="preserve"> Es=</t>
  </si>
  <si>
    <t>kg/cm2</t>
  </si>
  <si>
    <t>Ec= 15300(f´c)^2=</t>
  </si>
  <si>
    <t>n = Es / Ec</t>
  </si>
  <si>
    <t>dc= recu+Φ/2=</t>
  </si>
  <si>
    <t>*Area de acero transformada: Ast= relación modular x área de acero= 8(5.1cm2)=</t>
  </si>
  <si>
    <t>* Determinación de y:</t>
  </si>
  <si>
    <t>40.8(41.23-y)</t>
  </si>
  <si>
    <t>15y(y/2)=</t>
  </si>
  <si>
    <t>a</t>
  </si>
  <si>
    <t>b</t>
  </si>
  <si>
    <t>c</t>
  </si>
  <si>
    <t>y1=</t>
  </si>
  <si>
    <t>y2=</t>
  </si>
  <si>
    <t>(15/2)*y^2=</t>
  </si>
  <si>
    <t>40.8*41.23-40.8y</t>
  </si>
  <si>
    <t>Esfuerzo del acero bajo cargas de servicio</t>
  </si>
  <si>
    <t>*El brazo jd entre las cargas es:</t>
  </si>
  <si>
    <t>jd=d-y/3=</t>
  </si>
  <si>
    <t>* Esfuerzo del acero: fss=Ms/(jd)As=</t>
  </si>
  <si>
    <t>&lt;=</t>
  </si>
  <si>
    <t>Sepracion máxima de armadura</t>
  </si>
  <si>
    <t>Ubicación del eje neutro</t>
  </si>
  <si>
    <t>Momentos actuantes</t>
  </si>
  <si>
    <t>βs=</t>
  </si>
  <si>
    <t>Smax=</t>
  </si>
  <si>
    <t>&gt;=</t>
  </si>
  <si>
    <t>C. DISEÑO DE FRANJA DE BORDE</t>
  </si>
  <si>
    <t>Eborde=</t>
  </si>
  <si>
    <t>ó 1.8m</t>
  </si>
  <si>
    <t>c.2 momento de flexion por cargas (franja de 1.0 m de ancho)</t>
  </si>
  <si>
    <t xml:space="preserve">c.1 Ancho de franja </t>
  </si>
  <si>
    <t>Carga muerta (DC)</t>
  </si>
  <si>
    <t>Peso losa  =</t>
  </si>
  <si>
    <t>Peso sardinel  =</t>
  </si>
  <si>
    <t>WDC=</t>
  </si>
  <si>
    <t>MDC=</t>
  </si>
  <si>
    <t>Carga por superficie de rodadura (DW):</t>
  </si>
  <si>
    <t>MDW=</t>
  </si>
  <si>
    <t>Carga viva (LL)</t>
  </si>
  <si>
    <t>MLL=</t>
  </si>
  <si>
    <t>C.3 Resumen de momentos flectores y criterios LRFD aplicables (Tabla 3.4.1-1)</t>
  </si>
  <si>
    <t>c.4 Revisión de fisuración por distribución de armadura</t>
  </si>
  <si>
    <t>* Para un ancho tributario de 0.12m</t>
  </si>
  <si>
    <t>12y(y/2)=</t>
  </si>
  <si>
    <t>(12/2)*y^2=</t>
  </si>
  <si>
    <t>C. FATIGA</t>
  </si>
  <si>
    <t>MLL= PL/4=</t>
  </si>
  <si>
    <t>MLL+IM=</t>
  </si>
  <si>
    <t>Mfat=</t>
  </si>
  <si>
    <t>* Para el diseño por fatiga</t>
  </si>
  <si>
    <t>* ancho efectivo de una sola vía cargada E</t>
  </si>
  <si>
    <t>d.1 Carga de fatiga</t>
  </si>
  <si>
    <t>d.2 Sección fisurada</t>
  </si>
  <si>
    <t>Ftracc=</t>
  </si>
  <si>
    <t>*Esfuerzo debido a cargas permanentes no mayoradas más la combinaciónde carga de Fatiga I en una franja interior</t>
  </si>
  <si>
    <t>M' fat=</t>
  </si>
  <si>
    <t>MDC+MDW+MFAT</t>
  </si>
  <si>
    <t>s=b*h^2/6=</t>
  </si>
  <si>
    <t>Ffat=M' fat/s=</t>
  </si>
  <si>
    <t>&gt;</t>
  </si>
  <si>
    <t>, se usará la sección agrietada</t>
  </si>
  <si>
    <t>d.2 Verificación de esfuerzos (franja interior)</t>
  </si>
  <si>
    <t>Esfuerzo en el refuerzo debido a la carga viva</t>
  </si>
  <si>
    <t>Esfuerzo del acero</t>
  </si>
  <si>
    <t>fss=Ms/(jd)As=</t>
  </si>
  <si>
    <t>Esfuerzo en el refuerzo debido a la carga permanente</t>
  </si>
  <si>
    <t>fDL=MDC+DW/(jd)As=</t>
  </si>
  <si>
    <t>Fmax=</t>
  </si>
  <si>
    <t>Fmin=</t>
  </si>
  <si>
    <t>Flímite=</t>
  </si>
  <si>
    <t>DISTRIBUCIÓN DE ACERO EN EL PUENTE LOSA</t>
  </si>
  <si>
    <t>As principal</t>
  </si>
  <si>
    <t>DISEÑO DE ESTRIBO DE GRAVEDAD PARA PUENTE TIPO LOSA</t>
  </si>
  <si>
    <t>H=</t>
  </si>
  <si>
    <t>*Para una altura=</t>
  </si>
  <si>
    <t>B=ancho de cimiento= 1/2H, 2/3H</t>
  </si>
  <si>
    <t>h=altura de cimiento= H/6, H/8</t>
  </si>
  <si>
    <t>a=longitud de punta=H/12, H/6</t>
  </si>
  <si>
    <t>b=longitud de talón= H/12, H/6</t>
  </si>
  <si>
    <t>N=Longitud de cajuela (adoptado)</t>
  </si>
  <si>
    <t>B=</t>
  </si>
  <si>
    <t>h=</t>
  </si>
  <si>
    <t>b=</t>
  </si>
  <si>
    <t>N=</t>
  </si>
  <si>
    <t>ADOPTADOS</t>
  </si>
  <si>
    <t>CASO I. ESTRIBO CON PUENTE</t>
  </si>
  <si>
    <t>A) Coeficiente de empuje activo (ka)</t>
  </si>
  <si>
    <t>Φ= ángulo de fricción interna=</t>
  </si>
  <si>
    <t>δ= ángulo de fricción entre el suelo y el muro =</t>
  </si>
  <si>
    <t>β= ángulo del material del suelo con la horizontal=</t>
  </si>
  <si>
    <t>θ= ángulo de inclinación del muro del lado del terreno=</t>
  </si>
  <si>
    <t>r=</t>
  </si>
  <si>
    <t>ka=</t>
  </si>
  <si>
    <t>B) Altura equivalente por S/C</t>
  </si>
  <si>
    <t>h'=</t>
  </si>
  <si>
    <t>C) Metrado de cargas (considerando franjas de 1.0m de longitud de estribo)</t>
  </si>
  <si>
    <t>Cargas vertiales</t>
  </si>
  <si>
    <t>Cargas DC</t>
  </si>
  <si>
    <t>Elemento</t>
  </si>
  <si>
    <t>Volúmen (m3)</t>
  </si>
  <si>
    <t>DC (kg/m)</t>
  </si>
  <si>
    <t>XA (m)</t>
  </si>
  <si>
    <t>XA* DC (Kg-m/m)</t>
  </si>
  <si>
    <t>∑=</t>
  </si>
  <si>
    <t xml:space="preserve">        A</t>
  </si>
  <si>
    <t>DC estribo=</t>
  </si>
  <si>
    <t>XA=</t>
  </si>
  <si>
    <t>* Carga muerta de superestructura del puente:</t>
  </si>
  <si>
    <t>PDC=</t>
  </si>
  <si>
    <t xml:space="preserve">* Losa de acercamiento: </t>
  </si>
  <si>
    <t>DC losa=</t>
  </si>
  <si>
    <t>Cargas DW (peso de superficie de rodamiento)</t>
  </si>
  <si>
    <t>PDW=</t>
  </si>
  <si>
    <t>Cargas EV (presión vertical por carga muerta del terreno)</t>
  </si>
  <si>
    <t xml:space="preserve"> EV (kg/m)</t>
  </si>
  <si>
    <t>XA* EV (Kg-m/m)</t>
  </si>
  <si>
    <t>(en bordes =1.20)</t>
  </si>
  <si>
    <t>Cargas EH (presión lateral del terreno)</t>
  </si>
  <si>
    <t xml:space="preserve">* por </t>
  </si>
  <si>
    <t>de terreno</t>
  </si>
  <si>
    <t>s=</t>
  </si>
  <si>
    <t>* PRESIONES</t>
  </si>
  <si>
    <t>Presion de altura equivalente=</t>
  </si>
  <si>
    <t>δterreno=</t>
  </si>
  <si>
    <t>Presion de losa de acercamiento=</t>
  </si>
  <si>
    <t>δlosa acer=</t>
  </si>
  <si>
    <t>Presion de terreno natural=</t>
  </si>
  <si>
    <t>* por  losa de acercamiento</t>
  </si>
  <si>
    <t>Cargas LL (Carga viva de superestructura de puente)</t>
  </si>
  <si>
    <t>PL=</t>
  </si>
  <si>
    <t>Cargas LS (sobrecarga por carga viva en el terreno)</t>
  </si>
  <si>
    <t>Ls1=</t>
  </si>
  <si>
    <t>terreno equivalente extendido en 0.30 m del estribo</t>
  </si>
  <si>
    <t>componente vertical de la sobrecarga por carga viva:</t>
  </si>
  <si>
    <t>RESUMEN CARGAS VERTICALES</t>
  </si>
  <si>
    <t>TIPO</t>
  </si>
  <si>
    <t>V (Kg/m)</t>
  </si>
  <si>
    <t>Mv(kg-m/m)</t>
  </si>
  <si>
    <t>DC estr</t>
  </si>
  <si>
    <t>Dc losa</t>
  </si>
  <si>
    <t>PDC</t>
  </si>
  <si>
    <t>P DW</t>
  </si>
  <si>
    <t>EV</t>
  </si>
  <si>
    <t>EH 1y</t>
  </si>
  <si>
    <t>EH 2y</t>
  </si>
  <si>
    <t>Pl</t>
  </si>
  <si>
    <t>LS 1</t>
  </si>
  <si>
    <t>LS 2y</t>
  </si>
  <si>
    <t>∑</t>
  </si>
  <si>
    <t>EH</t>
  </si>
  <si>
    <t>LS</t>
  </si>
  <si>
    <t>LL</t>
  </si>
  <si>
    <t>Cargas horizontales</t>
  </si>
  <si>
    <r>
      <t>Kg./cm</t>
    </r>
    <r>
      <rPr>
        <sz val="10"/>
        <rFont val="Century Gothic"/>
        <family val="2"/>
      </rPr>
      <t>²</t>
    </r>
  </si>
  <si>
    <r>
      <t>Kg./cm</t>
    </r>
    <r>
      <rPr>
        <sz val="10"/>
        <rFont val="Century Gothic"/>
        <family val="2"/>
      </rPr>
      <t>³</t>
    </r>
  </si>
  <si>
    <t>* Con γ cs=</t>
  </si>
  <si>
    <t>* Con γterreno=</t>
  </si>
  <si>
    <t>EH1y= Eh1 senδ=</t>
  </si>
  <si>
    <t>EH2y= Eh2 senδ=</t>
  </si>
  <si>
    <r>
      <t xml:space="preserve">* </t>
    </r>
    <r>
      <rPr>
        <b/>
        <u/>
        <sz val="10"/>
        <rFont val="Century Gothic"/>
        <family val="2"/>
      </rPr>
      <t>Distancia desde el apoyo</t>
    </r>
  </si>
  <si>
    <t>Ls2y=Ls2 (senδ)</t>
  </si>
  <si>
    <r>
      <t xml:space="preserve">* </t>
    </r>
    <r>
      <rPr>
        <b/>
        <u/>
        <sz val="10"/>
        <rFont val="Century Gothic"/>
        <family val="2"/>
      </rPr>
      <t>Momento generado por camión o tamden de diseño</t>
    </r>
  </si>
  <si>
    <r>
      <t>cm</t>
    </r>
    <r>
      <rPr>
        <sz val="10"/>
        <rFont val="Century Gothic"/>
        <family val="2"/>
      </rPr>
      <t>²</t>
    </r>
  </si>
  <si>
    <t>As= 1Φ1"@0.15=</t>
  </si>
  <si>
    <r>
      <t>M</t>
    </r>
    <r>
      <rPr>
        <sz val="10"/>
        <rFont val="Century Gothic"/>
        <family val="2"/>
      </rPr>
      <t>DC</t>
    </r>
    <r>
      <rPr>
        <sz val="10"/>
        <color theme="1"/>
        <rFont val="Century Gothic"/>
        <family val="2"/>
      </rPr>
      <t xml:space="preserve"> =</t>
    </r>
  </si>
  <si>
    <t>MDC =</t>
  </si>
  <si>
    <t>MDW =</t>
  </si>
  <si>
    <r>
      <t>#</t>
    </r>
    <r>
      <rPr>
        <sz val="10"/>
        <color theme="1"/>
        <rFont val="Century Gothic"/>
        <family val="2"/>
      </rPr>
      <t xml:space="preserve"> 02</t>
    </r>
  </si>
  <si>
    <r>
      <t>#</t>
    </r>
    <r>
      <rPr>
        <sz val="10"/>
        <color theme="1"/>
        <rFont val="Century Gothic"/>
        <family val="2"/>
      </rPr>
      <t xml:space="preserve"> 03</t>
    </r>
    <r>
      <rPr>
        <sz val="10"/>
        <rFont val="Arial"/>
        <family val="2"/>
      </rPr>
      <t/>
    </r>
  </si>
  <si>
    <r>
      <t>#</t>
    </r>
    <r>
      <rPr>
        <sz val="10"/>
        <color theme="1"/>
        <rFont val="Century Gothic"/>
        <family val="2"/>
      </rPr>
      <t xml:space="preserve"> 04</t>
    </r>
    <r>
      <rPr>
        <sz val="10"/>
        <rFont val="Arial"/>
        <family val="2"/>
      </rPr>
      <t/>
    </r>
  </si>
  <si>
    <r>
      <t>#</t>
    </r>
    <r>
      <rPr>
        <sz val="10"/>
        <color theme="1"/>
        <rFont val="Century Gothic"/>
        <family val="2"/>
      </rPr>
      <t xml:space="preserve"> 05</t>
    </r>
  </si>
  <si>
    <r>
      <t>#</t>
    </r>
    <r>
      <rPr>
        <sz val="10"/>
        <color theme="1"/>
        <rFont val="Century Gothic"/>
        <family val="2"/>
      </rPr>
      <t xml:space="preserve"> 06</t>
    </r>
    <r>
      <rPr>
        <sz val="10"/>
        <rFont val="Arial"/>
        <family val="2"/>
      </rPr>
      <t/>
    </r>
  </si>
  <si>
    <r>
      <t>#</t>
    </r>
    <r>
      <rPr>
        <sz val="10"/>
        <color theme="1"/>
        <rFont val="Century Gothic"/>
        <family val="2"/>
      </rPr>
      <t xml:space="preserve"> 08</t>
    </r>
    <r>
      <rPr>
        <sz val="10"/>
        <rFont val="Arial"/>
        <family val="2"/>
      </rPr>
      <t/>
    </r>
  </si>
  <si>
    <r>
      <t>#</t>
    </r>
    <r>
      <rPr>
        <sz val="10"/>
        <color theme="1"/>
        <rFont val="Century Gothic"/>
        <family val="2"/>
      </rPr>
      <t xml:space="preserve"> 11</t>
    </r>
  </si>
  <si>
    <r>
      <rPr>
        <sz val="10"/>
        <color rgb="FFFF0000"/>
        <rFont val="Century Gothic"/>
        <family val="2"/>
      </rPr>
      <t>(15/2</t>
    </r>
    <r>
      <rPr>
        <sz val="10"/>
        <color theme="1"/>
        <rFont val="Century Gothic"/>
        <family val="2"/>
      </rPr>
      <t>)*y^2+</t>
    </r>
    <r>
      <rPr>
        <sz val="10"/>
        <color theme="9"/>
        <rFont val="Century Gothic"/>
        <family val="2"/>
      </rPr>
      <t>40.8</t>
    </r>
    <r>
      <rPr>
        <sz val="10"/>
        <color theme="1"/>
        <rFont val="Century Gothic"/>
        <family val="2"/>
      </rPr>
      <t>y-</t>
    </r>
    <r>
      <rPr>
        <sz val="10"/>
        <color theme="8"/>
        <rFont val="Century Gothic"/>
        <family val="2"/>
      </rPr>
      <t>40.8*41.23</t>
    </r>
  </si>
  <si>
    <r>
      <t>(</t>
    </r>
    <r>
      <rPr>
        <sz val="10"/>
        <color rgb="FFFF0000"/>
        <rFont val="Century Gothic"/>
        <family val="2"/>
      </rPr>
      <t>12/2</t>
    </r>
    <r>
      <rPr>
        <sz val="10"/>
        <color theme="1"/>
        <rFont val="Century Gothic"/>
        <family val="2"/>
      </rPr>
      <t>)*y^2+</t>
    </r>
    <r>
      <rPr>
        <sz val="10"/>
        <color theme="9"/>
        <rFont val="Century Gothic"/>
        <family val="2"/>
      </rPr>
      <t>40.8</t>
    </r>
    <r>
      <rPr>
        <sz val="10"/>
        <color theme="1"/>
        <rFont val="Century Gothic"/>
        <family val="2"/>
      </rPr>
      <t>y-</t>
    </r>
    <r>
      <rPr>
        <sz val="10"/>
        <color theme="8"/>
        <rFont val="Century Gothic"/>
        <family val="2"/>
      </rPr>
      <t>40.8*41.23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</si>
</sst>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0.0"/>
    <numFmt numFmtId="165" formatCode="0.000"/>
    <numFmt numFmtId="166" formatCode="0.00\ &quot;cm2&quot;"/>
    <numFmt numFmtId="167" formatCode="0.0\ &quot;cm2&quot;"/>
    <numFmt numFmtId="168" formatCode="#,##0\ &quot;cm&quot;"/>
    <numFmt numFmtId="169" formatCode="0.00\ &quot;cm&quot;"/>
    <numFmt numFmtId="170" formatCode="#,###\ &quot;kg/cm2&quot;"/>
    <numFmt numFmtId="171" formatCode="0.00\ &quot;m&quot;"/>
    <numFmt numFmtId="172" formatCode="0.0\ &quot;Tn&quot;"/>
    <numFmt numFmtId="173" formatCode="0.00\ &quot;Tn-m&quot;"/>
    <numFmt numFmtId="174" formatCode="0.00\ &quot;Tn-m/m&quot;"/>
    <numFmt numFmtId="175" formatCode="0.00\ &quot;kg/cm2&quot;"/>
    <numFmt numFmtId="176" formatCode="0.0\ &quot;cm&quot;"/>
    <numFmt numFmtId="177" formatCode="0.0\ &quot;cm3&quot;"/>
    <numFmt numFmtId="178" formatCode="0.0\ &quot;kg/cm2&quot;"/>
    <numFmt numFmtId="179" formatCode="0\ &quot;kg/cm2&quot;"/>
    <numFmt numFmtId="180" formatCode="#,##0.00\ &quot;m&quot;"/>
    <numFmt numFmtId="181" formatCode="0.0\ &quot;m&quot;"/>
    <numFmt numFmtId="182" formatCode="0.0\ &quot;°&quot;"/>
    <numFmt numFmtId="183" formatCode="0\ &quot;kg/m&quot;"/>
    <numFmt numFmtId="184" formatCode="0\ &quot;kg/m3&quot;"/>
    <numFmt numFmtId="185" formatCode="0.0\ &quot;kg/m2&quot;"/>
    <numFmt numFmtId="186" formatCode="0\ &quot;Kg-m/m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4"/>
      <name val="Century Gothic"/>
      <family val="2"/>
    </font>
    <font>
      <b/>
      <u/>
      <sz val="10"/>
      <color rgb="FFCC3399"/>
      <name val="Century Gothic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sz val="10"/>
      <name val="Century Gothic"/>
      <family val="2"/>
    </font>
    <font>
      <b/>
      <sz val="10"/>
      <color theme="8"/>
      <name val="Century Gothic"/>
      <family val="2"/>
    </font>
    <font>
      <b/>
      <u/>
      <sz val="10"/>
      <name val="Century Gothic"/>
      <family val="2"/>
    </font>
    <font>
      <b/>
      <sz val="10"/>
      <color theme="1"/>
      <name val="Century Gothic"/>
      <family val="2"/>
    </font>
    <font>
      <i/>
      <sz val="10"/>
      <name val="Century Gothic"/>
      <family val="2"/>
    </font>
    <font>
      <b/>
      <sz val="10"/>
      <color rgb="FFFF0066"/>
      <name val="Century Gothic"/>
      <family val="2"/>
    </font>
    <font>
      <sz val="10"/>
      <color theme="1"/>
      <name val="Century Gothic"/>
      <family val="2"/>
    </font>
    <font>
      <sz val="10"/>
      <color theme="5"/>
      <name val="Century Gothic"/>
      <family val="2"/>
    </font>
    <font>
      <sz val="10"/>
      <color theme="8"/>
      <name val="Century Gothic"/>
      <family val="2"/>
    </font>
    <font>
      <sz val="10"/>
      <color theme="9"/>
      <name val="Century Gothic"/>
      <family val="2"/>
    </font>
    <font>
      <sz val="10"/>
      <color rgb="FFFF0000"/>
      <name val="Century Gothic"/>
      <family val="2"/>
    </font>
    <font>
      <sz val="10"/>
      <color theme="3"/>
      <name val="Century Gothic"/>
      <family val="2"/>
    </font>
    <font>
      <b/>
      <u/>
      <sz val="10"/>
      <color theme="1"/>
      <name val="Century Gothic"/>
      <family val="2"/>
    </font>
    <font>
      <b/>
      <u/>
      <sz val="11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81" fontId="6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81" fontId="6" fillId="0" borderId="0" xfId="0" applyNumberFormat="1" applyFont="1" applyAlignment="1">
      <alignment horizontal="right" vertical="center"/>
    </xf>
    <xf numFmtId="181" fontId="6" fillId="0" borderId="0" xfId="0" applyNumberFormat="1" applyFont="1" applyAlignment="1">
      <alignment horizontal="left" vertical="center"/>
    </xf>
    <xf numFmtId="18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0" fontId="9" fillId="0" borderId="0" xfId="0" applyFont="1"/>
    <xf numFmtId="0" fontId="5" fillId="0" borderId="0" xfId="0" applyFont="1"/>
    <xf numFmtId="0" fontId="9" fillId="0" borderId="0" xfId="0" applyFont="1"/>
    <xf numFmtId="0" fontId="7" fillId="0" borderId="0" xfId="0" applyFont="1"/>
    <xf numFmtId="181" fontId="6" fillId="3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2" fontId="6" fillId="3" borderId="1" xfId="0" applyNumberFormat="1" applyFont="1" applyFill="1" applyBorder="1" applyAlignment="1">
      <alignment horizontal="left"/>
    </xf>
    <xf numFmtId="2" fontId="6" fillId="5" borderId="0" xfId="0" applyNumberFormat="1" applyFont="1" applyFill="1" applyAlignment="1">
      <alignment horizontal="center"/>
    </xf>
    <xf numFmtId="0" fontId="6" fillId="0" borderId="0" xfId="0" applyFont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2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85" fontId="6" fillId="3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83" fontId="6" fillId="3" borderId="1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right"/>
    </xf>
    <xf numFmtId="2" fontId="6" fillId="0" borderId="3" xfId="0" applyNumberFormat="1" applyFont="1" applyBorder="1" applyAlignment="1">
      <alignment horizontal="center"/>
    </xf>
    <xf numFmtId="0" fontId="6" fillId="0" borderId="4" xfId="0" applyFont="1" applyBorder="1"/>
    <xf numFmtId="2" fontId="6" fillId="5" borderId="3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2" fontId="8" fillId="0" borderId="0" xfId="0" applyNumberFormat="1" applyFont="1"/>
    <xf numFmtId="0" fontId="8" fillId="0" borderId="0" xfId="0" applyFont="1"/>
    <xf numFmtId="49" fontId="6" fillId="0" borderId="0" xfId="0" applyNumberFormat="1" applyFont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right"/>
    </xf>
    <xf numFmtId="2" fontId="6" fillId="5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13" fillId="0" borderId="0" xfId="0" applyFont="1"/>
    <xf numFmtId="0" fontId="8" fillId="0" borderId="0" xfId="0" applyFont="1" applyAlignment="1">
      <alignment horizontal="right"/>
    </xf>
    <xf numFmtId="2" fontId="6" fillId="0" borderId="0" xfId="0" applyNumberFormat="1" applyFont="1"/>
    <xf numFmtId="0" fontId="6" fillId="0" borderId="10" xfId="0" applyFont="1" applyBorder="1" applyAlignment="1">
      <alignment horizontal="center" vertical="center"/>
    </xf>
    <xf numFmtId="12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/>
    <xf numFmtId="0" fontId="14" fillId="2" borderId="1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80" fontId="14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/>
    <xf numFmtId="182" fontId="14" fillId="0" borderId="0" xfId="0" applyNumberFormat="1" applyFont="1" applyAlignment="1">
      <alignment horizontal="left"/>
    </xf>
    <xf numFmtId="9" fontId="14" fillId="0" borderId="1" xfId="0" applyNumberFormat="1" applyFont="1" applyBorder="1" applyAlignment="1">
      <alignment horizontal="right"/>
    </xf>
    <xf numFmtId="164" fontId="14" fillId="0" borderId="0" xfId="0" applyNumberFormat="1" applyFont="1"/>
    <xf numFmtId="18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2" fontId="14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 wrapText="1" shrinkToFi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2" fontId="14" fillId="0" borderId="0" xfId="0" applyNumberFormat="1" applyFont="1" applyAlignment="1">
      <alignment horizontal="left" vertical="center" wrapText="1"/>
    </xf>
    <xf numFmtId="0" fontId="14" fillId="4" borderId="0" xfId="0" applyFont="1" applyFill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2" fontId="14" fillId="0" borderId="0" xfId="0" applyNumberFormat="1" applyFont="1" applyAlignment="1">
      <alignment horizontal="justify" vertical="center"/>
    </xf>
    <xf numFmtId="182" fontId="11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2" fontId="14" fillId="0" borderId="5" xfId="0" applyNumberFormat="1" applyFont="1" applyBorder="1" applyAlignment="1">
      <alignment horizontal="center"/>
    </xf>
    <xf numFmtId="0" fontId="20" fillId="0" borderId="0" xfId="0" applyFont="1"/>
    <xf numFmtId="2" fontId="14" fillId="0" borderId="0" xfId="0" applyNumberFormat="1" applyFont="1" applyAlignment="1">
      <alignment horizontal="left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wrapText="1"/>
    </xf>
    <xf numFmtId="184" fontId="14" fillId="0" borderId="0" xfId="0" applyNumberFormat="1" applyFont="1"/>
    <xf numFmtId="0" fontId="14" fillId="0" borderId="1" xfId="0" applyFont="1" applyBorder="1"/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/>
    <xf numFmtId="0" fontId="19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0" borderId="0" xfId="0" applyFont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wrapText="1"/>
    </xf>
    <xf numFmtId="183" fontId="14" fillId="8" borderId="1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right"/>
    </xf>
    <xf numFmtId="2" fontId="14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/>
    <xf numFmtId="181" fontId="14" fillId="0" borderId="0" xfId="0" applyNumberFormat="1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183" fontId="14" fillId="0" borderId="1" xfId="0" applyNumberFormat="1" applyFont="1" applyBorder="1" applyAlignment="1">
      <alignment horizontal="center"/>
    </xf>
    <xf numFmtId="180" fontId="14" fillId="0" borderId="1" xfId="0" applyNumberFormat="1" applyFont="1" applyBorder="1" applyAlignment="1">
      <alignment horizontal="center"/>
    </xf>
    <xf numFmtId="186" fontId="14" fillId="0" borderId="1" xfId="0" applyNumberFormat="1" applyFont="1" applyBorder="1" applyAlignment="1">
      <alignment horizontal="center"/>
    </xf>
    <xf numFmtId="181" fontId="14" fillId="0" borderId="1" xfId="0" applyNumberFormat="1" applyFont="1" applyBorder="1" applyAlignment="1">
      <alignment horizontal="center"/>
    </xf>
    <xf numFmtId="183" fontId="14" fillId="0" borderId="1" xfId="0" applyNumberFormat="1" applyFont="1" applyBorder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12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right"/>
    </xf>
    <xf numFmtId="12" fontId="14" fillId="7" borderId="1" xfId="0" applyNumberFormat="1" applyFont="1" applyFill="1" applyBorder="1" applyAlignment="1">
      <alignment horizontal="center"/>
    </xf>
    <xf numFmtId="2" fontId="14" fillId="5" borderId="0" xfId="0" applyNumberFormat="1" applyFont="1" applyFill="1" applyAlignment="1">
      <alignment horizontal="center"/>
    </xf>
    <xf numFmtId="9" fontId="14" fillId="0" borderId="0" xfId="0" applyNumberFormat="1" applyFont="1"/>
    <xf numFmtId="0" fontId="14" fillId="7" borderId="1" xfId="0" applyFont="1" applyFill="1" applyBorder="1"/>
    <xf numFmtId="164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9" fontId="14" fillId="0" borderId="0" xfId="0" applyNumberFormat="1" applyFont="1" applyAlignment="1">
      <alignment horizontal="center"/>
    </xf>
    <xf numFmtId="170" fontId="14" fillId="0" borderId="0" xfId="0" applyNumberFormat="1" applyFont="1"/>
    <xf numFmtId="0" fontId="11" fillId="0" borderId="0" xfId="0" applyFont="1" applyAlignment="1">
      <alignment horizontal="center"/>
    </xf>
    <xf numFmtId="168" fontId="14" fillId="0" borderId="0" xfId="0" applyNumberFormat="1" applyFont="1" applyAlignment="1">
      <alignment horizontal="right"/>
    </xf>
    <xf numFmtId="171" fontId="14" fillId="0" borderId="0" xfId="0" applyNumberFormat="1" applyFont="1" applyAlignment="1">
      <alignment horizontal="center"/>
    </xf>
    <xf numFmtId="2" fontId="14" fillId="2" borderId="0" xfId="0" applyNumberFormat="1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2" fontId="11" fillId="0" borderId="0" xfId="0" applyNumberFormat="1" applyFont="1"/>
    <xf numFmtId="172" fontId="14" fillId="0" borderId="0" xfId="0" applyNumberFormat="1" applyFont="1" applyAlignment="1">
      <alignment horizontal="center"/>
    </xf>
    <xf numFmtId="173" fontId="14" fillId="0" borderId="0" xfId="0" applyNumberFormat="1" applyFont="1"/>
    <xf numFmtId="174" fontId="14" fillId="0" borderId="0" xfId="0" applyNumberFormat="1" applyFont="1"/>
    <xf numFmtId="175" fontId="14" fillId="0" borderId="0" xfId="0" applyNumberFormat="1" applyFont="1"/>
    <xf numFmtId="0" fontId="14" fillId="0" borderId="0" xfId="0" applyFont="1" applyAlignment="1">
      <alignment horizontal="left" wrapText="1"/>
    </xf>
    <xf numFmtId="177" fontId="14" fillId="0" borderId="0" xfId="0" applyNumberFormat="1" applyFont="1"/>
    <xf numFmtId="176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left"/>
    </xf>
    <xf numFmtId="178" fontId="14" fillId="0" borderId="0" xfId="0" applyNumberFormat="1" applyFont="1"/>
    <xf numFmtId="179" fontId="14" fillId="0" borderId="0" xfId="0" applyNumberFormat="1" applyFont="1"/>
    <xf numFmtId="12" fontId="14" fillId="0" borderId="0" xfId="0" applyNumberFormat="1" applyFont="1" applyAlignment="1">
      <alignment horizontal="center"/>
    </xf>
    <xf numFmtId="0" fontId="21" fillId="9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23925" y="4572000"/>
          <a:ext cx="7715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695450" y="4895850"/>
          <a:ext cx="24765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4171950" y="4572000"/>
          <a:ext cx="0" cy="3238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171950" y="4572000"/>
          <a:ext cx="762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933950" y="4572000"/>
          <a:ext cx="0" cy="8096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183696</xdr:rowOff>
    </xdr:from>
    <xdr:to>
      <xdr:col>7</xdr:col>
      <xdr:colOff>0</xdr:colOff>
      <xdr:row>30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918482" y="6204857"/>
          <a:ext cx="4007304" cy="680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152400</xdr:rowOff>
    </xdr:from>
    <xdr:to>
      <xdr:col>3</xdr:col>
      <xdr:colOff>0</xdr:colOff>
      <xdr:row>27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685925" y="4562475"/>
          <a:ext cx="0" cy="3333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923925" y="4572000"/>
          <a:ext cx="0" cy="8096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26</xdr:row>
      <xdr:rowOff>133350</xdr:rowOff>
    </xdr:from>
    <xdr:to>
      <xdr:col>4</xdr:col>
      <xdr:colOff>295275</xdr:colOff>
      <xdr:row>27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1685925" y="4867275"/>
          <a:ext cx="1257300" cy="285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295275</xdr:colOff>
      <xdr:row>26</xdr:row>
      <xdr:rowOff>133350</xdr:rowOff>
    </xdr:from>
    <xdr:to>
      <xdr:col>6</xdr:col>
      <xdr:colOff>0</xdr:colOff>
      <xdr:row>27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943225" y="4867275"/>
          <a:ext cx="1228725" cy="285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85725</xdr:rowOff>
    </xdr:from>
    <xdr:to>
      <xdr:col>7</xdr:col>
      <xdr:colOff>0</xdr:colOff>
      <xdr:row>30</xdr:row>
      <xdr:rowOff>85725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23925" y="5467350"/>
          <a:ext cx="401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76200</xdr:rowOff>
    </xdr:from>
    <xdr:to>
      <xdr:col>6</xdr:col>
      <xdr:colOff>0</xdr:colOff>
      <xdr:row>24</xdr:row>
      <xdr:rowOff>76200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685925" y="4486275"/>
          <a:ext cx="2486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76200</xdr:rowOff>
    </xdr:from>
    <xdr:to>
      <xdr:col>3</xdr:col>
      <xdr:colOff>0</xdr:colOff>
      <xdr:row>24</xdr:row>
      <xdr:rowOff>76200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923925" y="4486275"/>
          <a:ext cx="76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76200</xdr:rowOff>
    </xdr:from>
    <xdr:to>
      <xdr:col>7</xdr:col>
      <xdr:colOff>0</xdr:colOff>
      <xdr:row>24</xdr:row>
      <xdr:rowOff>76200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4171950" y="4486275"/>
          <a:ext cx="76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26</xdr:row>
      <xdr:rowOff>28575</xdr:rowOff>
    </xdr:from>
    <xdr:to>
      <xdr:col>3</xdr:col>
      <xdr:colOff>733425</xdr:colOff>
      <xdr:row>26</xdr:row>
      <xdr:rowOff>66675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H="1">
          <a:off x="2009775" y="4762500"/>
          <a:ext cx="409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26</xdr:row>
      <xdr:rowOff>28575</xdr:rowOff>
    </xdr:from>
    <xdr:to>
      <xdr:col>5</xdr:col>
      <xdr:colOff>304800</xdr:colOff>
      <xdr:row>26</xdr:row>
      <xdr:rowOff>66675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343275" y="4762500"/>
          <a:ext cx="3714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25</xdr:row>
      <xdr:rowOff>0</xdr:rowOff>
    </xdr:from>
    <xdr:to>
      <xdr:col>1</xdr:col>
      <xdr:colOff>447675</xdr:colOff>
      <xdr:row>27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504825" y="4572000"/>
          <a:ext cx="0" cy="3238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27</xdr:row>
      <xdr:rowOff>0</xdr:rowOff>
    </xdr:from>
    <xdr:to>
      <xdr:col>1</xdr:col>
      <xdr:colOff>447675</xdr:colOff>
      <xdr:row>30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504825" y="4895850"/>
          <a:ext cx="0" cy="4857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26</xdr:row>
      <xdr:rowOff>38100</xdr:rowOff>
    </xdr:from>
    <xdr:to>
      <xdr:col>7</xdr:col>
      <xdr:colOff>209550</xdr:colOff>
      <xdr:row>27</xdr:row>
      <xdr:rowOff>76200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5143500" y="4772025"/>
          <a:ext cx="0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169</xdr:row>
      <xdr:rowOff>0</xdr:rowOff>
    </xdr:from>
    <xdr:to>
      <xdr:col>7</xdr:col>
      <xdr:colOff>0</xdr:colOff>
      <xdr:row>171</xdr:row>
      <xdr:rowOff>0</xdr:rowOff>
    </xdr:to>
    <xdr:sp macro="" textlink="">
      <xdr:nvSpPr>
        <xdr:cNvPr id="21" name="Rectangle 2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923925" y="31508700"/>
          <a:ext cx="40100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0</xdr:colOff>
      <xdr:row>181</xdr:row>
      <xdr:rowOff>0</xdr:rowOff>
    </xdr:from>
    <xdr:to>
      <xdr:col>7</xdr:col>
      <xdr:colOff>0</xdr:colOff>
      <xdr:row>183</xdr:row>
      <xdr:rowOff>0</xdr:rowOff>
    </xdr:to>
    <xdr:sp macro="" textlink="">
      <xdr:nvSpPr>
        <xdr:cNvPr id="22" name="Rectangle 2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923925" y="33470850"/>
          <a:ext cx="40100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438150</xdr:colOff>
      <xdr:row>407</xdr:row>
      <xdr:rowOff>190499</xdr:rowOff>
    </xdr:from>
    <xdr:to>
      <xdr:col>7</xdr:col>
      <xdr:colOff>371475</xdr:colOff>
      <xdr:row>412</xdr:row>
      <xdr:rowOff>170089</xdr:rowOff>
    </xdr:to>
    <xdr:sp macro="" textlink="">
      <xdr:nvSpPr>
        <xdr:cNvPr id="23" name="Rectangle 3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492579" y="77581124"/>
          <a:ext cx="5117646" cy="9320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412</xdr:row>
      <xdr:rowOff>20411</xdr:rowOff>
    </xdr:from>
    <xdr:to>
      <xdr:col>7</xdr:col>
      <xdr:colOff>361950</xdr:colOff>
      <xdr:row>412</xdr:row>
      <xdr:rowOff>20411</xdr:rowOff>
    </xdr:to>
    <xdr:sp macro="" textlink="">
      <xdr:nvSpPr>
        <xdr:cNvPr id="25" name="Line 3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483054" y="78363536"/>
          <a:ext cx="511764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424543</xdr:colOff>
      <xdr:row>411</xdr:row>
      <xdr:rowOff>161925</xdr:rowOff>
    </xdr:from>
    <xdr:to>
      <xdr:col>7</xdr:col>
      <xdr:colOff>357868</xdr:colOff>
      <xdr:row>411</xdr:row>
      <xdr:rowOff>161925</xdr:rowOff>
    </xdr:to>
    <xdr:sp macro="" textlink="">
      <xdr:nvSpPr>
        <xdr:cNvPr id="26" name="Line 3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478972" y="78314550"/>
          <a:ext cx="511764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85726</xdr:colOff>
      <xdr:row>406</xdr:row>
      <xdr:rowOff>28575</xdr:rowOff>
    </xdr:from>
    <xdr:to>
      <xdr:col>2</xdr:col>
      <xdr:colOff>945698</xdr:colOff>
      <xdr:row>408</xdr:row>
      <xdr:rowOff>95250</xdr:rowOff>
    </xdr:to>
    <xdr:sp macro="" textlink="">
      <xdr:nvSpPr>
        <xdr:cNvPr id="60" name="Line 6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1004208" y="77228700"/>
          <a:ext cx="859972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406</xdr:row>
      <xdr:rowOff>19050</xdr:rowOff>
    </xdr:from>
    <xdr:to>
      <xdr:col>4</xdr:col>
      <xdr:colOff>9525</xdr:colOff>
      <xdr:row>406</xdr:row>
      <xdr:rowOff>19050</xdr:rowOff>
    </xdr:to>
    <xdr:sp macro="" textlink="">
      <xdr:nvSpPr>
        <xdr:cNvPr id="61" name="Line 6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1000125" y="34632900"/>
          <a:ext cx="1657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197302</xdr:colOff>
      <xdr:row>406</xdr:row>
      <xdr:rowOff>152401</xdr:rowOff>
    </xdr:from>
    <xdr:to>
      <xdr:col>5</xdr:col>
      <xdr:colOff>95249</xdr:colOff>
      <xdr:row>411</xdr:row>
      <xdr:rowOff>20411</xdr:rowOff>
    </xdr:to>
    <xdr:sp macro="" textlink="">
      <xdr:nvSpPr>
        <xdr:cNvPr id="62" name="Line 7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 flipH="1">
          <a:off x="2932338" y="77352526"/>
          <a:ext cx="775607" cy="8205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406</xdr:row>
      <xdr:rowOff>152401</xdr:rowOff>
    </xdr:from>
    <xdr:to>
      <xdr:col>5</xdr:col>
      <xdr:colOff>496661</xdr:colOff>
      <xdr:row>408</xdr:row>
      <xdr:rowOff>61232</xdr:rowOff>
    </xdr:to>
    <xdr:sp macro="" textlink="">
      <xdr:nvSpPr>
        <xdr:cNvPr id="63" name="Line 7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17471" y="77352526"/>
          <a:ext cx="391886" cy="2898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92529</xdr:colOff>
      <xdr:row>406</xdr:row>
      <xdr:rowOff>163286</xdr:rowOff>
    </xdr:from>
    <xdr:to>
      <xdr:col>6</xdr:col>
      <xdr:colOff>759279</xdr:colOff>
      <xdr:row>406</xdr:row>
      <xdr:rowOff>163286</xdr:rowOff>
    </xdr:to>
    <xdr:sp macro="" textlink="">
      <xdr:nvSpPr>
        <xdr:cNvPr id="64" name="Line 7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609975" y="35208482"/>
          <a:ext cx="14287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789213</xdr:colOff>
      <xdr:row>412</xdr:row>
      <xdr:rowOff>20411</xdr:rowOff>
    </xdr:from>
    <xdr:to>
      <xdr:col>5</xdr:col>
      <xdr:colOff>47621</xdr:colOff>
      <xdr:row>414</xdr:row>
      <xdr:rowOff>190499</xdr:rowOff>
    </xdr:to>
    <xdr:sp macro="" textlink="">
      <xdr:nvSpPr>
        <xdr:cNvPr id="65" name="Line 7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 flipH="1" flipV="1">
          <a:off x="3524249" y="78363536"/>
          <a:ext cx="136068" cy="5510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PE"/>
        </a:p>
      </xdr:txBody>
    </xdr:sp>
    <xdr:clientData/>
  </xdr:twoCellAnchor>
  <xdr:twoCellAnchor>
    <xdr:from>
      <xdr:col>5</xdr:col>
      <xdr:colOff>28575</xdr:colOff>
      <xdr:row>415</xdr:row>
      <xdr:rowOff>0</xdr:rowOff>
    </xdr:from>
    <xdr:to>
      <xdr:col>7</xdr:col>
      <xdr:colOff>0</xdr:colOff>
      <xdr:row>415</xdr:row>
      <xdr:rowOff>0</xdr:rowOff>
    </xdr:to>
    <xdr:sp macro="" textlink="">
      <xdr:nvSpPr>
        <xdr:cNvPr id="66" name="Line 7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438525" y="36071175"/>
          <a:ext cx="14954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552450</xdr:colOff>
      <xdr:row>5</xdr:row>
      <xdr:rowOff>19050</xdr:rowOff>
    </xdr:from>
    <xdr:to>
      <xdr:col>5</xdr:col>
      <xdr:colOff>695325</xdr:colOff>
      <xdr:row>5</xdr:row>
      <xdr:rowOff>152400</xdr:rowOff>
    </xdr:to>
    <xdr:sp macro="" textlink="">
      <xdr:nvSpPr>
        <xdr:cNvPr id="67" name="Oval 8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3962400" y="10287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304800</xdr:colOff>
      <xdr:row>5</xdr:row>
      <xdr:rowOff>19050</xdr:rowOff>
    </xdr:from>
    <xdr:to>
      <xdr:col>6</xdr:col>
      <xdr:colOff>447675</xdr:colOff>
      <xdr:row>5</xdr:row>
      <xdr:rowOff>152400</xdr:rowOff>
    </xdr:to>
    <xdr:sp macro="" textlink="">
      <xdr:nvSpPr>
        <xdr:cNvPr id="68" name="Oval 8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4476750" y="10287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314325</xdr:colOff>
      <xdr:row>5</xdr:row>
      <xdr:rowOff>19050</xdr:rowOff>
    </xdr:from>
    <xdr:to>
      <xdr:col>7</xdr:col>
      <xdr:colOff>457200</xdr:colOff>
      <xdr:row>5</xdr:row>
      <xdr:rowOff>152400</xdr:rowOff>
    </xdr:to>
    <xdr:sp macro="" textlink="">
      <xdr:nvSpPr>
        <xdr:cNvPr id="69" name="Oval 9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5248275" y="10287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457200</xdr:colOff>
      <xdr:row>5</xdr:row>
      <xdr:rowOff>85725</xdr:rowOff>
    </xdr:from>
    <xdr:to>
      <xdr:col>5</xdr:col>
      <xdr:colOff>542925</xdr:colOff>
      <xdr:row>5</xdr:row>
      <xdr:rowOff>85725</xdr:rowOff>
    </xdr:to>
    <xdr:sp macro="" textlink="">
      <xdr:nvSpPr>
        <xdr:cNvPr id="70" name="Line 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 flipH="1">
          <a:off x="3867150" y="10953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3</xdr:row>
      <xdr:rowOff>95250</xdr:rowOff>
    </xdr:from>
    <xdr:to>
      <xdr:col>5</xdr:col>
      <xdr:colOff>447675</xdr:colOff>
      <xdr:row>5</xdr:row>
      <xdr:rowOff>85725</xdr:rowOff>
    </xdr:to>
    <xdr:sp macro="" textlink="">
      <xdr:nvSpPr>
        <xdr:cNvPr id="71" name="Line 9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 flipV="1">
          <a:off x="3857625" y="781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5</xdr:row>
      <xdr:rowOff>76200</xdr:rowOff>
    </xdr:from>
    <xdr:to>
      <xdr:col>6</xdr:col>
      <xdr:colOff>295275</xdr:colOff>
      <xdr:row>5</xdr:row>
      <xdr:rowOff>76200</xdr:rowOff>
    </xdr:to>
    <xdr:sp macro="" textlink="">
      <xdr:nvSpPr>
        <xdr:cNvPr id="72" name="Line 9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4114800" y="108585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619125</xdr:colOff>
      <xdr:row>5</xdr:row>
      <xdr:rowOff>19050</xdr:rowOff>
    </xdr:from>
    <xdr:to>
      <xdr:col>6</xdr:col>
      <xdr:colOff>352425</xdr:colOff>
      <xdr:row>5</xdr:row>
      <xdr:rowOff>19050</xdr:rowOff>
    </xdr:to>
    <xdr:sp macro="" textlink="">
      <xdr:nvSpPr>
        <xdr:cNvPr id="73" name="Line 9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4029075" y="102870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3</xdr:row>
      <xdr:rowOff>0</xdr:rowOff>
    </xdr:from>
    <xdr:to>
      <xdr:col>6</xdr:col>
      <xdr:colOff>114300</xdr:colOff>
      <xdr:row>5</xdr:row>
      <xdr:rowOff>19050</xdr:rowOff>
    </xdr:to>
    <xdr:sp macro="" textlink="">
      <xdr:nvSpPr>
        <xdr:cNvPr id="74" name="Line 9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 flipV="1">
          <a:off x="4286250" y="68580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3</xdr:row>
      <xdr:rowOff>0</xdr:rowOff>
    </xdr:from>
    <xdr:to>
      <xdr:col>7</xdr:col>
      <xdr:colOff>581025</xdr:colOff>
      <xdr:row>5</xdr:row>
      <xdr:rowOff>66675</xdr:rowOff>
    </xdr:to>
    <xdr:sp macro="" textlink="">
      <xdr:nvSpPr>
        <xdr:cNvPr id="75" name="Line 9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5514975" y="685800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5</xdr:row>
      <xdr:rowOff>19050</xdr:rowOff>
    </xdr:from>
    <xdr:to>
      <xdr:col>7</xdr:col>
      <xdr:colOff>371475</xdr:colOff>
      <xdr:row>5</xdr:row>
      <xdr:rowOff>19050</xdr:rowOff>
    </xdr:to>
    <xdr:sp macro="" textlink="">
      <xdr:nvSpPr>
        <xdr:cNvPr id="76" name="Line 9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4552950" y="102870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5</xdr:row>
      <xdr:rowOff>76200</xdr:rowOff>
    </xdr:from>
    <xdr:to>
      <xdr:col>7</xdr:col>
      <xdr:colOff>581025</xdr:colOff>
      <xdr:row>5</xdr:row>
      <xdr:rowOff>76200</xdr:rowOff>
    </xdr:to>
    <xdr:sp macro="" textlink="">
      <xdr:nvSpPr>
        <xdr:cNvPr id="77" name="Line 10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 flipH="1">
          <a:off x="5391150" y="10858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5</xdr:row>
      <xdr:rowOff>85725</xdr:rowOff>
    </xdr:from>
    <xdr:to>
      <xdr:col>6</xdr:col>
      <xdr:colOff>495300</xdr:colOff>
      <xdr:row>5</xdr:row>
      <xdr:rowOff>95250</xdr:rowOff>
    </xdr:to>
    <xdr:sp macro="" textlink="">
      <xdr:nvSpPr>
        <xdr:cNvPr id="78" name="Line 10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4610100" y="1095375"/>
          <a:ext cx="57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495300</xdr:colOff>
      <xdr:row>5</xdr:row>
      <xdr:rowOff>28575</xdr:rowOff>
    </xdr:from>
    <xdr:to>
      <xdr:col>6</xdr:col>
      <xdr:colOff>495300</xdr:colOff>
      <xdr:row>5</xdr:row>
      <xdr:rowOff>95250</xdr:rowOff>
    </xdr:to>
    <xdr:sp macro="" textlink="">
      <xdr:nvSpPr>
        <xdr:cNvPr id="79" name="Line 10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4667250" y="10382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5</xdr:row>
      <xdr:rowOff>95250</xdr:rowOff>
    </xdr:from>
    <xdr:to>
      <xdr:col>7</xdr:col>
      <xdr:colOff>314325</xdr:colOff>
      <xdr:row>5</xdr:row>
      <xdr:rowOff>95250</xdr:rowOff>
    </xdr:to>
    <xdr:sp macro="" textlink="">
      <xdr:nvSpPr>
        <xdr:cNvPr id="80" name="Line 10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H="1">
          <a:off x="5172075" y="110490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5</xdr:row>
      <xdr:rowOff>28575</xdr:rowOff>
    </xdr:from>
    <xdr:to>
      <xdr:col>7</xdr:col>
      <xdr:colOff>238125</xdr:colOff>
      <xdr:row>5</xdr:row>
      <xdr:rowOff>95250</xdr:rowOff>
    </xdr:to>
    <xdr:sp macro="" textlink="">
      <xdr:nvSpPr>
        <xdr:cNvPr id="81" name="Line 10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5172075" y="10382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390525</xdr:colOff>
      <xdr:row>5</xdr:row>
      <xdr:rowOff>19050</xdr:rowOff>
    </xdr:from>
    <xdr:to>
      <xdr:col>7</xdr:col>
      <xdr:colOff>581025</xdr:colOff>
      <xdr:row>5</xdr:row>
      <xdr:rowOff>19050</xdr:rowOff>
    </xdr:to>
    <xdr:sp macro="" textlink="">
      <xdr:nvSpPr>
        <xdr:cNvPr id="82" name="Line 10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5324475" y="10287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495300</xdr:colOff>
      <xdr:row>5</xdr:row>
      <xdr:rowOff>47625</xdr:rowOff>
    </xdr:from>
    <xdr:to>
      <xdr:col>7</xdr:col>
      <xdr:colOff>228600</xdr:colOff>
      <xdr:row>5</xdr:row>
      <xdr:rowOff>47625</xdr:rowOff>
    </xdr:to>
    <xdr:sp macro="" textlink="">
      <xdr:nvSpPr>
        <xdr:cNvPr id="83" name="Line 10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4667250" y="10572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3</xdr:row>
      <xdr:rowOff>95250</xdr:rowOff>
    </xdr:from>
    <xdr:to>
      <xdr:col>5</xdr:col>
      <xdr:colOff>742950</xdr:colOff>
      <xdr:row>3</xdr:row>
      <xdr:rowOff>104775</xdr:rowOff>
    </xdr:to>
    <xdr:sp macro="" textlink="">
      <xdr:nvSpPr>
        <xdr:cNvPr id="84" name="Line 10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943350" y="78105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3</xdr:row>
      <xdr:rowOff>104775</xdr:rowOff>
    </xdr:from>
    <xdr:to>
      <xdr:col>5</xdr:col>
      <xdr:colOff>742950</xdr:colOff>
      <xdr:row>5</xdr:row>
      <xdr:rowOff>19050</xdr:rowOff>
    </xdr:to>
    <xdr:sp macro="" textlink="">
      <xdr:nvSpPr>
        <xdr:cNvPr id="85" name="Line 1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4152900" y="7905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3</xdr:row>
      <xdr:rowOff>0</xdr:rowOff>
    </xdr:from>
    <xdr:to>
      <xdr:col>5</xdr:col>
      <xdr:colOff>742950</xdr:colOff>
      <xdr:row>3</xdr:row>
      <xdr:rowOff>95250</xdr:rowOff>
    </xdr:to>
    <xdr:sp macro="" textlink="">
      <xdr:nvSpPr>
        <xdr:cNvPr id="86" name="Line 10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V="1">
          <a:off x="4152900" y="6858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3</xdr:row>
      <xdr:rowOff>0</xdr:rowOff>
    </xdr:from>
    <xdr:to>
      <xdr:col>5</xdr:col>
      <xdr:colOff>609600</xdr:colOff>
      <xdr:row>3</xdr:row>
      <xdr:rowOff>85725</xdr:rowOff>
    </xdr:to>
    <xdr:sp macro="" textlink="">
      <xdr:nvSpPr>
        <xdr:cNvPr id="87" name="Line 11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3857625" y="685800"/>
          <a:ext cx="1619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3</xdr:row>
      <xdr:rowOff>0</xdr:rowOff>
    </xdr:from>
    <xdr:to>
      <xdr:col>5</xdr:col>
      <xdr:colOff>695325</xdr:colOff>
      <xdr:row>3</xdr:row>
      <xdr:rowOff>66675</xdr:rowOff>
    </xdr:to>
    <xdr:sp macro="" textlink="">
      <xdr:nvSpPr>
        <xdr:cNvPr id="88" name="Rectangle 11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4019550" y="685800"/>
          <a:ext cx="85725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533400</xdr:colOff>
      <xdr:row>4</xdr:row>
      <xdr:rowOff>9525</xdr:rowOff>
    </xdr:from>
    <xdr:to>
      <xdr:col>5</xdr:col>
      <xdr:colOff>685800</xdr:colOff>
      <xdr:row>4</xdr:row>
      <xdr:rowOff>133350</xdr:rowOff>
    </xdr:to>
    <xdr:sp macro="" textlink="">
      <xdr:nvSpPr>
        <xdr:cNvPr id="89" name="Rectangle 1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3943350" y="857250"/>
          <a:ext cx="152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533400</xdr:colOff>
      <xdr:row>3</xdr:row>
      <xdr:rowOff>95250</xdr:rowOff>
    </xdr:from>
    <xdr:to>
      <xdr:col>5</xdr:col>
      <xdr:colOff>533400</xdr:colOff>
      <xdr:row>5</xdr:row>
      <xdr:rowOff>85725</xdr:rowOff>
    </xdr:to>
    <xdr:sp macro="" textlink="">
      <xdr:nvSpPr>
        <xdr:cNvPr id="90" name="Line 1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3943350" y="781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5</xdr:row>
      <xdr:rowOff>47625</xdr:rowOff>
    </xdr:from>
    <xdr:to>
      <xdr:col>5</xdr:col>
      <xdr:colOff>657225</xdr:colOff>
      <xdr:row>5</xdr:row>
      <xdr:rowOff>123825</xdr:rowOff>
    </xdr:to>
    <xdr:sp macro="" textlink="">
      <xdr:nvSpPr>
        <xdr:cNvPr id="91" name="Oval 11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3990975" y="10572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5</xdr:row>
      <xdr:rowOff>47625</xdr:rowOff>
    </xdr:from>
    <xdr:to>
      <xdr:col>6</xdr:col>
      <xdr:colOff>409575</xdr:colOff>
      <xdr:row>5</xdr:row>
      <xdr:rowOff>123825</xdr:rowOff>
    </xdr:to>
    <xdr:sp macro="" textlink="">
      <xdr:nvSpPr>
        <xdr:cNvPr id="92" name="Oval 11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4505325" y="10572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352425</xdr:colOff>
      <xdr:row>5</xdr:row>
      <xdr:rowOff>47625</xdr:rowOff>
    </xdr:from>
    <xdr:to>
      <xdr:col>7</xdr:col>
      <xdr:colOff>428625</xdr:colOff>
      <xdr:row>5</xdr:row>
      <xdr:rowOff>123825</xdr:rowOff>
    </xdr:to>
    <xdr:sp macro="" textlink="">
      <xdr:nvSpPr>
        <xdr:cNvPr id="93" name="Oval 12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5286375" y="10572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3</xdr:row>
      <xdr:rowOff>0</xdr:rowOff>
    </xdr:from>
    <xdr:to>
      <xdr:col>7</xdr:col>
      <xdr:colOff>571500</xdr:colOff>
      <xdr:row>3</xdr:row>
      <xdr:rowOff>0</xdr:rowOff>
    </xdr:to>
    <xdr:sp macro="" textlink="">
      <xdr:nvSpPr>
        <xdr:cNvPr id="94" name="Line 12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4286250" y="685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</xdr:row>
      <xdr:rowOff>123825</xdr:rowOff>
    </xdr:from>
    <xdr:to>
      <xdr:col>6</xdr:col>
      <xdr:colOff>114300</xdr:colOff>
      <xdr:row>4</xdr:row>
      <xdr:rowOff>123825</xdr:rowOff>
    </xdr:to>
    <xdr:sp macro="" textlink="">
      <xdr:nvSpPr>
        <xdr:cNvPr id="95" name="Line 12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4152900" y="971550"/>
          <a:ext cx="133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28575</xdr:rowOff>
    </xdr:from>
    <xdr:to>
      <xdr:col>4</xdr:col>
      <xdr:colOff>0</xdr:colOff>
      <xdr:row>45</xdr:row>
      <xdr:rowOff>19050</xdr:rowOff>
    </xdr:to>
    <xdr:sp macro="" textlink="">
      <xdr:nvSpPr>
        <xdr:cNvPr id="96" name="AutoShape 20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57150" y="8020050"/>
          <a:ext cx="2590800" cy="314325"/>
        </a:xfrm>
        <a:prstGeom prst="flowChartMerg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39</xdr:row>
      <xdr:rowOff>114300</xdr:rowOff>
    </xdr:from>
    <xdr:to>
      <xdr:col>2</xdr:col>
      <xdr:colOff>381000</xdr:colOff>
      <xdr:row>42</xdr:row>
      <xdr:rowOff>0</xdr:rowOff>
    </xdr:to>
    <xdr:sp macro="" textlink="">
      <xdr:nvSpPr>
        <xdr:cNvPr id="97" name="Line 20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>
          <a:off x="1304925" y="7439025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45</xdr:row>
      <xdr:rowOff>85725</xdr:rowOff>
    </xdr:from>
    <xdr:to>
      <xdr:col>1</xdr:col>
      <xdr:colOff>485775</xdr:colOff>
      <xdr:row>45</xdr:row>
      <xdr:rowOff>85725</xdr:rowOff>
    </xdr:to>
    <xdr:sp macro="" textlink="">
      <xdr:nvSpPr>
        <xdr:cNvPr id="98" name="Line 20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66675" y="84010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752475</xdr:colOff>
      <xdr:row>45</xdr:row>
      <xdr:rowOff>85725</xdr:rowOff>
    </xdr:from>
    <xdr:to>
      <xdr:col>2</xdr:col>
      <xdr:colOff>381000</xdr:colOff>
      <xdr:row>45</xdr:row>
      <xdr:rowOff>85725</xdr:rowOff>
    </xdr:to>
    <xdr:sp macro="" textlink="">
      <xdr:nvSpPr>
        <xdr:cNvPr id="99" name="Line 2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809625" y="840105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45</xdr:row>
      <xdr:rowOff>85725</xdr:rowOff>
    </xdr:from>
    <xdr:to>
      <xdr:col>3</xdr:col>
      <xdr:colOff>9525</xdr:colOff>
      <xdr:row>45</xdr:row>
      <xdr:rowOff>85725</xdr:rowOff>
    </xdr:to>
    <xdr:sp macro="" textlink="">
      <xdr:nvSpPr>
        <xdr:cNvPr id="100" name="Line 2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1295400" y="840105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285750</xdr:colOff>
      <xdr:row>45</xdr:row>
      <xdr:rowOff>85725</xdr:rowOff>
    </xdr:from>
    <xdr:to>
      <xdr:col>4</xdr:col>
      <xdr:colOff>0</xdr:colOff>
      <xdr:row>45</xdr:row>
      <xdr:rowOff>85725</xdr:rowOff>
    </xdr:to>
    <xdr:sp macro="" textlink="">
      <xdr:nvSpPr>
        <xdr:cNvPr id="101" name="Line 2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1971675" y="84010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43</xdr:row>
      <xdr:rowOff>0</xdr:rowOff>
    </xdr:from>
    <xdr:to>
      <xdr:col>2</xdr:col>
      <xdr:colOff>381000</xdr:colOff>
      <xdr:row>45</xdr:row>
      <xdr:rowOff>9525</xdr:rowOff>
    </xdr:to>
    <xdr:sp macro="" textlink="">
      <xdr:nvSpPr>
        <xdr:cNvPr id="102" name="Line 2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1304925" y="79914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42</xdr:row>
      <xdr:rowOff>76200</xdr:rowOff>
    </xdr:from>
    <xdr:to>
      <xdr:col>4</xdr:col>
      <xdr:colOff>9525</xdr:colOff>
      <xdr:row>42</xdr:row>
      <xdr:rowOff>76200</xdr:rowOff>
    </xdr:to>
    <xdr:sp macro="" textlink="">
      <xdr:nvSpPr>
        <xdr:cNvPr id="103" name="Line 2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1514475" y="79057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632980</xdr:colOff>
      <xdr:row>38</xdr:row>
      <xdr:rowOff>0</xdr:rowOff>
    </xdr:from>
    <xdr:to>
      <xdr:col>3</xdr:col>
      <xdr:colOff>356755</xdr:colOff>
      <xdr:row>38</xdr:row>
      <xdr:rowOff>133350</xdr:rowOff>
    </xdr:to>
    <xdr:sp macro="" textlink="">
      <xdr:nvSpPr>
        <xdr:cNvPr id="104" name="Rectangle 22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1559503" y="7195705"/>
          <a:ext cx="702252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Tn/m</a:t>
          </a:r>
        </a:p>
      </xdr:txBody>
    </xdr:sp>
    <xdr:clientData/>
  </xdr:twoCellAnchor>
  <xdr:twoCellAnchor>
    <xdr:from>
      <xdr:col>1</xdr:col>
      <xdr:colOff>9525</xdr:colOff>
      <xdr:row>42</xdr:row>
      <xdr:rowOff>76200</xdr:rowOff>
    </xdr:from>
    <xdr:to>
      <xdr:col>2</xdr:col>
      <xdr:colOff>180975</xdr:colOff>
      <xdr:row>42</xdr:row>
      <xdr:rowOff>76200</xdr:rowOff>
    </xdr:to>
    <xdr:sp macro="" textlink="">
      <xdr:nvSpPr>
        <xdr:cNvPr id="105" name="Line 22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66675" y="79057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4</xdr:col>
      <xdr:colOff>0</xdr:colOff>
      <xdr:row>41</xdr:row>
      <xdr:rowOff>0</xdr:rowOff>
    </xdr:to>
    <xdr:grpSp>
      <xdr:nvGrpSpPr>
        <xdr:cNvPr id="106" name="Grupo 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GrpSpPr>
          <a:grpSpLocks/>
        </xdr:cNvGrpSpPr>
      </xdr:nvGrpSpPr>
      <xdr:grpSpPr bwMode="auto">
        <a:xfrm>
          <a:off x="57150" y="8096250"/>
          <a:ext cx="2686050" cy="428625"/>
          <a:chOff x="57150" y="15786100"/>
          <a:chExt cx="2286000" cy="342900"/>
        </a:xfrm>
      </xdr:grpSpPr>
      <xdr:sp macro="" textlink="">
        <xdr:nvSpPr>
          <xdr:cNvPr id="107" name="Line 208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1200150" y="15786100"/>
            <a:ext cx="0" cy="3429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215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ShapeType="1"/>
          </xdr:cNvSpPr>
        </xdr:nvSpPr>
        <xdr:spPr bwMode="auto">
          <a:xfrm>
            <a:off x="57150" y="15786100"/>
            <a:ext cx="228600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216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1581150" y="15786100"/>
            <a:ext cx="0" cy="3429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217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ChangeShapeType="1"/>
          </xdr:cNvSpPr>
        </xdr:nvSpPr>
        <xdr:spPr bwMode="auto">
          <a:xfrm>
            <a:off x="819150" y="15786100"/>
            <a:ext cx="0" cy="3429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Line 218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428625" y="15786100"/>
            <a:ext cx="0" cy="3429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219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1952625" y="15786100"/>
            <a:ext cx="0" cy="3429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22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2343150" y="15786100"/>
            <a:ext cx="0" cy="3429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" name="Line 22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 noChangeShapeType="1"/>
          </xdr:cNvSpPr>
        </xdr:nvSpPr>
        <xdr:spPr bwMode="auto">
          <a:xfrm>
            <a:off x="69850" y="15792450"/>
            <a:ext cx="0" cy="3302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381000</xdr:colOff>
      <xdr:row>55</xdr:row>
      <xdr:rowOff>114300</xdr:rowOff>
    </xdr:from>
    <xdr:to>
      <xdr:col>2</xdr:col>
      <xdr:colOff>381000</xdr:colOff>
      <xdr:row>58</xdr:row>
      <xdr:rowOff>0</xdr:rowOff>
    </xdr:to>
    <xdr:sp macro="" textlink="">
      <xdr:nvSpPr>
        <xdr:cNvPr id="115" name="Line 22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1304925" y="10229850"/>
          <a:ext cx="0" cy="390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58</xdr:row>
      <xdr:rowOff>76200</xdr:rowOff>
    </xdr:from>
    <xdr:to>
      <xdr:col>4</xdr:col>
      <xdr:colOff>9525</xdr:colOff>
      <xdr:row>58</xdr:row>
      <xdr:rowOff>76200</xdr:rowOff>
    </xdr:to>
    <xdr:sp macro="" textlink="">
      <xdr:nvSpPr>
        <xdr:cNvPr id="116" name="Line 2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1514475" y="10696575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581025</xdr:colOff>
      <xdr:row>54</xdr:row>
      <xdr:rowOff>0</xdr:rowOff>
    </xdr:from>
    <xdr:to>
      <xdr:col>3</xdr:col>
      <xdr:colOff>304800</xdr:colOff>
      <xdr:row>54</xdr:row>
      <xdr:rowOff>133350</xdr:rowOff>
    </xdr:to>
    <xdr:sp macro="" textlink="">
      <xdr:nvSpPr>
        <xdr:cNvPr id="117" name="Rectangle 23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1504950" y="9953625"/>
          <a:ext cx="4857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Tn/m</a:t>
          </a:r>
        </a:p>
      </xdr:txBody>
    </xdr:sp>
    <xdr:clientData/>
  </xdr:twoCellAnchor>
  <xdr:twoCellAnchor>
    <xdr:from>
      <xdr:col>1</xdr:col>
      <xdr:colOff>9525</xdr:colOff>
      <xdr:row>58</xdr:row>
      <xdr:rowOff>76200</xdr:rowOff>
    </xdr:from>
    <xdr:to>
      <xdr:col>2</xdr:col>
      <xdr:colOff>180975</xdr:colOff>
      <xdr:row>58</xdr:row>
      <xdr:rowOff>76200</xdr:rowOff>
    </xdr:to>
    <xdr:sp macro="" textlink="">
      <xdr:nvSpPr>
        <xdr:cNvPr id="118" name="Line 23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66675" y="106965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4</xdr:col>
      <xdr:colOff>0</xdr:colOff>
      <xdr:row>57</xdr:row>
      <xdr:rowOff>9525</xdr:rowOff>
    </xdr:to>
    <xdr:grpSp>
      <xdr:nvGrpSpPr>
        <xdr:cNvPr id="119" name="Grupo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GrpSpPr>
          <a:grpSpLocks/>
        </xdr:cNvGrpSpPr>
      </xdr:nvGrpSpPr>
      <xdr:grpSpPr bwMode="auto">
        <a:xfrm>
          <a:off x="57150" y="11487150"/>
          <a:ext cx="2686050" cy="438150"/>
          <a:chOff x="57150" y="18472150"/>
          <a:chExt cx="2286000" cy="342900"/>
        </a:xfrm>
      </xdr:grpSpPr>
      <xdr:sp macro="" textlink="">
        <xdr:nvSpPr>
          <xdr:cNvPr id="120" name="Line 226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1200150" y="18472150"/>
            <a:ext cx="0" cy="3365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233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57150" y="18472150"/>
            <a:ext cx="228600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Line 234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 noChangeShapeType="1"/>
          </xdr:cNvSpPr>
        </xdr:nvSpPr>
        <xdr:spPr bwMode="auto">
          <a:xfrm>
            <a:off x="1581150" y="18472150"/>
            <a:ext cx="0" cy="3365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Line 235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819150" y="18472150"/>
            <a:ext cx="0" cy="3365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236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428625" y="18472150"/>
            <a:ext cx="0" cy="3365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237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ShapeType="1"/>
          </xdr:cNvSpPr>
        </xdr:nvSpPr>
        <xdr:spPr bwMode="auto">
          <a:xfrm>
            <a:off x="1952625" y="18472150"/>
            <a:ext cx="0" cy="3365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Line 240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ShapeType="1"/>
          </xdr:cNvSpPr>
        </xdr:nvSpPr>
        <xdr:spPr bwMode="auto">
          <a:xfrm>
            <a:off x="2343150" y="18472150"/>
            <a:ext cx="0" cy="3365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Line 241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69850" y="18484850"/>
            <a:ext cx="0" cy="3302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552450</xdr:colOff>
      <xdr:row>67</xdr:row>
      <xdr:rowOff>19050</xdr:rowOff>
    </xdr:from>
    <xdr:to>
      <xdr:col>1</xdr:col>
      <xdr:colOff>695325</xdr:colOff>
      <xdr:row>67</xdr:row>
      <xdr:rowOff>152400</xdr:rowOff>
    </xdr:to>
    <xdr:sp macro="" textlink="">
      <xdr:nvSpPr>
        <xdr:cNvPr id="128" name="Oval 24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609600" y="126015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67</xdr:row>
      <xdr:rowOff>19050</xdr:rowOff>
    </xdr:from>
    <xdr:to>
      <xdr:col>2</xdr:col>
      <xdr:colOff>447675</xdr:colOff>
      <xdr:row>67</xdr:row>
      <xdr:rowOff>152400</xdr:rowOff>
    </xdr:to>
    <xdr:sp macro="" textlink="">
      <xdr:nvSpPr>
        <xdr:cNvPr id="129" name="Oval 24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1228725" y="126015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314325</xdr:colOff>
      <xdr:row>67</xdr:row>
      <xdr:rowOff>19050</xdr:rowOff>
    </xdr:from>
    <xdr:to>
      <xdr:col>3</xdr:col>
      <xdr:colOff>457200</xdr:colOff>
      <xdr:row>67</xdr:row>
      <xdr:rowOff>152400</xdr:rowOff>
    </xdr:to>
    <xdr:sp macro="" textlink="">
      <xdr:nvSpPr>
        <xdr:cNvPr id="130" name="Oval 244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2000250" y="126015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457200</xdr:colOff>
      <xdr:row>67</xdr:row>
      <xdr:rowOff>85725</xdr:rowOff>
    </xdr:from>
    <xdr:to>
      <xdr:col>1</xdr:col>
      <xdr:colOff>542925</xdr:colOff>
      <xdr:row>67</xdr:row>
      <xdr:rowOff>85725</xdr:rowOff>
    </xdr:to>
    <xdr:sp macro="" textlink="">
      <xdr:nvSpPr>
        <xdr:cNvPr id="131" name="Line 24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H="1">
          <a:off x="514350" y="1266825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65</xdr:row>
      <xdr:rowOff>95250</xdr:rowOff>
    </xdr:from>
    <xdr:to>
      <xdr:col>1</xdr:col>
      <xdr:colOff>447675</xdr:colOff>
      <xdr:row>67</xdr:row>
      <xdr:rowOff>85725</xdr:rowOff>
    </xdr:to>
    <xdr:sp macro="" textlink="">
      <xdr:nvSpPr>
        <xdr:cNvPr id="132" name="Line 24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 flipV="1">
          <a:off x="504825" y="123539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704850</xdr:colOff>
      <xdr:row>67</xdr:row>
      <xdr:rowOff>76200</xdr:rowOff>
    </xdr:from>
    <xdr:to>
      <xdr:col>2</xdr:col>
      <xdr:colOff>295275</xdr:colOff>
      <xdr:row>67</xdr:row>
      <xdr:rowOff>76200</xdr:rowOff>
    </xdr:to>
    <xdr:sp macro="" textlink="">
      <xdr:nvSpPr>
        <xdr:cNvPr id="133" name="Line 247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762000" y="126587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67</xdr:row>
      <xdr:rowOff>19050</xdr:rowOff>
    </xdr:from>
    <xdr:to>
      <xdr:col>2</xdr:col>
      <xdr:colOff>352425</xdr:colOff>
      <xdr:row>67</xdr:row>
      <xdr:rowOff>19050</xdr:rowOff>
    </xdr:to>
    <xdr:sp macro="" textlink="">
      <xdr:nvSpPr>
        <xdr:cNvPr id="134" name="Line 24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676275" y="1260157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64</xdr:row>
      <xdr:rowOff>95250</xdr:rowOff>
    </xdr:from>
    <xdr:to>
      <xdr:col>2</xdr:col>
      <xdr:colOff>114300</xdr:colOff>
      <xdr:row>67</xdr:row>
      <xdr:rowOff>19050</xdr:rowOff>
    </xdr:to>
    <xdr:sp macro="" textlink="">
      <xdr:nvSpPr>
        <xdr:cNvPr id="135" name="Line 24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 flipV="1">
          <a:off x="1038225" y="121920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64</xdr:row>
      <xdr:rowOff>95250</xdr:rowOff>
    </xdr:from>
    <xdr:to>
      <xdr:col>3</xdr:col>
      <xdr:colOff>571500</xdr:colOff>
      <xdr:row>64</xdr:row>
      <xdr:rowOff>95250</xdr:rowOff>
    </xdr:to>
    <xdr:sp macro="" textlink="">
      <xdr:nvSpPr>
        <xdr:cNvPr id="136" name="Line 25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1047750" y="12192000"/>
          <a:ext cx="1209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64</xdr:row>
      <xdr:rowOff>95250</xdr:rowOff>
    </xdr:from>
    <xdr:to>
      <xdr:col>3</xdr:col>
      <xdr:colOff>581025</xdr:colOff>
      <xdr:row>67</xdr:row>
      <xdr:rowOff>76200</xdr:rowOff>
    </xdr:to>
    <xdr:sp macro="" textlink="">
      <xdr:nvSpPr>
        <xdr:cNvPr id="137" name="Line 25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2266950" y="12192000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67</xdr:row>
      <xdr:rowOff>19050</xdr:rowOff>
    </xdr:from>
    <xdr:to>
      <xdr:col>3</xdr:col>
      <xdr:colOff>371475</xdr:colOff>
      <xdr:row>67</xdr:row>
      <xdr:rowOff>19050</xdr:rowOff>
    </xdr:to>
    <xdr:sp macro="" textlink="">
      <xdr:nvSpPr>
        <xdr:cNvPr id="138" name="Line 25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1304925" y="12601575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67</xdr:row>
      <xdr:rowOff>76200</xdr:rowOff>
    </xdr:from>
    <xdr:to>
      <xdr:col>3</xdr:col>
      <xdr:colOff>581025</xdr:colOff>
      <xdr:row>67</xdr:row>
      <xdr:rowOff>76200</xdr:rowOff>
    </xdr:to>
    <xdr:sp macro="" textlink="">
      <xdr:nvSpPr>
        <xdr:cNvPr id="139" name="Line 25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 flipH="1">
          <a:off x="2143125" y="1265872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67</xdr:row>
      <xdr:rowOff>85725</xdr:rowOff>
    </xdr:from>
    <xdr:to>
      <xdr:col>2</xdr:col>
      <xdr:colOff>495300</xdr:colOff>
      <xdr:row>67</xdr:row>
      <xdr:rowOff>95250</xdr:rowOff>
    </xdr:to>
    <xdr:sp macro="" textlink="">
      <xdr:nvSpPr>
        <xdr:cNvPr id="140" name="Line 25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362075" y="12668250"/>
          <a:ext cx="57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67</xdr:row>
      <xdr:rowOff>28575</xdr:rowOff>
    </xdr:from>
    <xdr:to>
      <xdr:col>2</xdr:col>
      <xdr:colOff>495300</xdr:colOff>
      <xdr:row>67</xdr:row>
      <xdr:rowOff>95250</xdr:rowOff>
    </xdr:to>
    <xdr:sp macro="" textlink="">
      <xdr:nvSpPr>
        <xdr:cNvPr id="141" name="Line 25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 flipV="1">
          <a:off x="1419225" y="126111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67</xdr:row>
      <xdr:rowOff>95250</xdr:rowOff>
    </xdr:from>
    <xdr:to>
      <xdr:col>3</xdr:col>
      <xdr:colOff>314325</xdr:colOff>
      <xdr:row>67</xdr:row>
      <xdr:rowOff>95250</xdr:rowOff>
    </xdr:to>
    <xdr:sp macro="" textlink="">
      <xdr:nvSpPr>
        <xdr:cNvPr id="142" name="Line 25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 flipH="1">
          <a:off x="1924050" y="126777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67</xdr:row>
      <xdr:rowOff>28575</xdr:rowOff>
    </xdr:from>
    <xdr:to>
      <xdr:col>3</xdr:col>
      <xdr:colOff>238125</xdr:colOff>
      <xdr:row>67</xdr:row>
      <xdr:rowOff>95250</xdr:rowOff>
    </xdr:to>
    <xdr:sp macro="" textlink="">
      <xdr:nvSpPr>
        <xdr:cNvPr id="143" name="Line 25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 flipV="1">
          <a:off x="1924050" y="126111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67</xdr:row>
      <xdr:rowOff>19050</xdr:rowOff>
    </xdr:from>
    <xdr:to>
      <xdr:col>3</xdr:col>
      <xdr:colOff>571500</xdr:colOff>
      <xdr:row>67</xdr:row>
      <xdr:rowOff>19050</xdr:rowOff>
    </xdr:to>
    <xdr:sp macro="" textlink="">
      <xdr:nvSpPr>
        <xdr:cNvPr id="144" name="Line 25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2076450" y="1260157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67</xdr:row>
      <xdr:rowOff>47625</xdr:rowOff>
    </xdr:from>
    <xdr:to>
      <xdr:col>3</xdr:col>
      <xdr:colOff>228600</xdr:colOff>
      <xdr:row>67</xdr:row>
      <xdr:rowOff>47625</xdr:rowOff>
    </xdr:to>
    <xdr:sp macro="" textlink="">
      <xdr:nvSpPr>
        <xdr:cNvPr id="145" name="Line 25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1419225" y="1263015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65</xdr:row>
      <xdr:rowOff>95250</xdr:rowOff>
    </xdr:from>
    <xdr:to>
      <xdr:col>1</xdr:col>
      <xdr:colOff>742950</xdr:colOff>
      <xdr:row>65</xdr:row>
      <xdr:rowOff>104775</xdr:rowOff>
    </xdr:to>
    <xdr:sp macro="" textlink="">
      <xdr:nvSpPr>
        <xdr:cNvPr id="146" name="Line 26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90550" y="12353925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65</xdr:row>
      <xdr:rowOff>104775</xdr:rowOff>
    </xdr:from>
    <xdr:to>
      <xdr:col>1</xdr:col>
      <xdr:colOff>742950</xdr:colOff>
      <xdr:row>67</xdr:row>
      <xdr:rowOff>19050</xdr:rowOff>
    </xdr:to>
    <xdr:sp macro="" textlink="">
      <xdr:nvSpPr>
        <xdr:cNvPr id="147" name="Line 26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800100" y="12363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64</xdr:row>
      <xdr:rowOff>95250</xdr:rowOff>
    </xdr:from>
    <xdr:to>
      <xdr:col>1</xdr:col>
      <xdr:colOff>742950</xdr:colOff>
      <xdr:row>65</xdr:row>
      <xdr:rowOff>95250</xdr:rowOff>
    </xdr:to>
    <xdr:sp macro="" textlink="">
      <xdr:nvSpPr>
        <xdr:cNvPr id="148" name="Line 26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V="1">
          <a:off x="800100" y="1219200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64</xdr:row>
      <xdr:rowOff>95250</xdr:rowOff>
    </xdr:from>
    <xdr:to>
      <xdr:col>1</xdr:col>
      <xdr:colOff>742950</xdr:colOff>
      <xdr:row>64</xdr:row>
      <xdr:rowOff>95250</xdr:rowOff>
    </xdr:to>
    <xdr:sp macro="" textlink="">
      <xdr:nvSpPr>
        <xdr:cNvPr id="149" name="Line 26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66750" y="12192000"/>
          <a:ext cx="133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64</xdr:row>
      <xdr:rowOff>85725</xdr:rowOff>
    </xdr:from>
    <xdr:to>
      <xdr:col>1</xdr:col>
      <xdr:colOff>609600</xdr:colOff>
      <xdr:row>65</xdr:row>
      <xdr:rowOff>85725</xdr:rowOff>
    </xdr:to>
    <xdr:sp macro="" textlink="">
      <xdr:nvSpPr>
        <xdr:cNvPr id="150" name="Line 26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504825" y="121824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64</xdr:row>
      <xdr:rowOff>123825</xdr:rowOff>
    </xdr:from>
    <xdr:to>
      <xdr:col>1</xdr:col>
      <xdr:colOff>695325</xdr:colOff>
      <xdr:row>65</xdr:row>
      <xdr:rowOff>66675</xdr:rowOff>
    </xdr:to>
    <xdr:sp macro="" textlink="">
      <xdr:nvSpPr>
        <xdr:cNvPr id="151" name="Rectangle 26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666750" y="12220575"/>
          <a:ext cx="857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533400</xdr:colOff>
      <xdr:row>66</xdr:row>
      <xdr:rowOff>9525</xdr:rowOff>
    </xdr:from>
    <xdr:to>
      <xdr:col>1</xdr:col>
      <xdr:colOff>685800</xdr:colOff>
      <xdr:row>66</xdr:row>
      <xdr:rowOff>133350</xdr:rowOff>
    </xdr:to>
    <xdr:sp macro="" textlink="">
      <xdr:nvSpPr>
        <xdr:cNvPr id="152" name="Rectangle 26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590550" y="12430125"/>
          <a:ext cx="152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533400</xdr:colOff>
      <xdr:row>65</xdr:row>
      <xdr:rowOff>95250</xdr:rowOff>
    </xdr:from>
    <xdr:to>
      <xdr:col>1</xdr:col>
      <xdr:colOff>533400</xdr:colOff>
      <xdr:row>67</xdr:row>
      <xdr:rowOff>85725</xdr:rowOff>
    </xdr:to>
    <xdr:sp macro="" textlink="">
      <xdr:nvSpPr>
        <xdr:cNvPr id="153" name="Line 267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90550" y="123539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64</xdr:row>
      <xdr:rowOff>9525</xdr:rowOff>
    </xdr:from>
    <xdr:to>
      <xdr:col>2</xdr:col>
      <xdr:colOff>9525</xdr:colOff>
      <xdr:row>64</xdr:row>
      <xdr:rowOff>95250</xdr:rowOff>
    </xdr:to>
    <xdr:sp macro="" textlink="">
      <xdr:nvSpPr>
        <xdr:cNvPr id="154" name="Line 26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V="1">
          <a:off x="800100" y="12106275"/>
          <a:ext cx="13335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64</xdr:row>
      <xdr:rowOff>9525</xdr:rowOff>
    </xdr:from>
    <xdr:to>
      <xdr:col>2</xdr:col>
      <xdr:colOff>9525</xdr:colOff>
      <xdr:row>64</xdr:row>
      <xdr:rowOff>85725</xdr:rowOff>
    </xdr:to>
    <xdr:sp macro="" textlink="">
      <xdr:nvSpPr>
        <xdr:cNvPr id="155" name="Line 26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771525" y="12106275"/>
          <a:ext cx="1619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67</xdr:row>
      <xdr:rowOff>47625</xdr:rowOff>
    </xdr:from>
    <xdr:to>
      <xdr:col>1</xdr:col>
      <xdr:colOff>657225</xdr:colOff>
      <xdr:row>67</xdr:row>
      <xdr:rowOff>123825</xdr:rowOff>
    </xdr:to>
    <xdr:sp macro="" textlink="">
      <xdr:nvSpPr>
        <xdr:cNvPr id="156" name="Oval 27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638175" y="126301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333375</xdr:colOff>
      <xdr:row>67</xdr:row>
      <xdr:rowOff>47625</xdr:rowOff>
    </xdr:from>
    <xdr:to>
      <xdr:col>2</xdr:col>
      <xdr:colOff>409575</xdr:colOff>
      <xdr:row>67</xdr:row>
      <xdr:rowOff>123825</xdr:rowOff>
    </xdr:to>
    <xdr:sp macro="" textlink="">
      <xdr:nvSpPr>
        <xdr:cNvPr id="157" name="Oval 27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1257300" y="126301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67</xdr:row>
      <xdr:rowOff>47625</xdr:rowOff>
    </xdr:from>
    <xdr:to>
      <xdr:col>3</xdr:col>
      <xdr:colOff>428625</xdr:colOff>
      <xdr:row>67</xdr:row>
      <xdr:rowOff>123825</xdr:rowOff>
    </xdr:to>
    <xdr:sp macro="" textlink="">
      <xdr:nvSpPr>
        <xdr:cNvPr id="158" name="Oval 27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2038350" y="126301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65</xdr:row>
      <xdr:rowOff>0</xdr:rowOff>
    </xdr:from>
    <xdr:to>
      <xdr:col>3</xdr:col>
      <xdr:colOff>571500</xdr:colOff>
      <xdr:row>65</xdr:row>
      <xdr:rowOff>0</xdr:rowOff>
    </xdr:to>
    <xdr:sp macro="" textlink="">
      <xdr:nvSpPr>
        <xdr:cNvPr id="159" name="Line 27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1038225" y="1225867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66</xdr:row>
      <xdr:rowOff>123825</xdr:rowOff>
    </xdr:from>
    <xdr:to>
      <xdr:col>2</xdr:col>
      <xdr:colOff>114300</xdr:colOff>
      <xdr:row>66</xdr:row>
      <xdr:rowOff>123825</xdr:rowOff>
    </xdr:to>
    <xdr:sp macro="" textlink="">
      <xdr:nvSpPr>
        <xdr:cNvPr id="160" name="Line 27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800100" y="125444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552450</xdr:colOff>
      <xdr:row>67</xdr:row>
      <xdr:rowOff>19050</xdr:rowOff>
    </xdr:from>
    <xdr:to>
      <xdr:col>5</xdr:col>
      <xdr:colOff>695325</xdr:colOff>
      <xdr:row>67</xdr:row>
      <xdr:rowOff>152400</xdr:rowOff>
    </xdr:to>
    <xdr:sp macro="" textlink="">
      <xdr:nvSpPr>
        <xdr:cNvPr id="161" name="Oval 27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3962400" y="126015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67</xdr:row>
      <xdr:rowOff>19050</xdr:rowOff>
    </xdr:from>
    <xdr:to>
      <xdr:col>6</xdr:col>
      <xdr:colOff>733425</xdr:colOff>
      <xdr:row>67</xdr:row>
      <xdr:rowOff>152400</xdr:rowOff>
    </xdr:to>
    <xdr:sp macro="" textlink="">
      <xdr:nvSpPr>
        <xdr:cNvPr id="162" name="Oval 27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4762500" y="126015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457200</xdr:colOff>
      <xdr:row>67</xdr:row>
      <xdr:rowOff>85725</xdr:rowOff>
    </xdr:from>
    <xdr:to>
      <xdr:col>5</xdr:col>
      <xdr:colOff>542925</xdr:colOff>
      <xdr:row>67</xdr:row>
      <xdr:rowOff>85725</xdr:rowOff>
    </xdr:to>
    <xdr:sp macro="" textlink="">
      <xdr:nvSpPr>
        <xdr:cNvPr id="163" name="Line 27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3867150" y="1266825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65</xdr:row>
      <xdr:rowOff>95250</xdr:rowOff>
    </xdr:from>
    <xdr:to>
      <xdr:col>5</xdr:col>
      <xdr:colOff>447675</xdr:colOff>
      <xdr:row>67</xdr:row>
      <xdr:rowOff>85725</xdr:rowOff>
    </xdr:to>
    <xdr:sp macro="" textlink="">
      <xdr:nvSpPr>
        <xdr:cNvPr id="164" name="Line 27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V="1">
          <a:off x="3857625" y="123539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695325</xdr:colOff>
      <xdr:row>67</xdr:row>
      <xdr:rowOff>76200</xdr:rowOff>
    </xdr:from>
    <xdr:to>
      <xdr:col>6</xdr:col>
      <xdr:colOff>581025</xdr:colOff>
      <xdr:row>67</xdr:row>
      <xdr:rowOff>76200</xdr:rowOff>
    </xdr:to>
    <xdr:sp macro="" textlink="">
      <xdr:nvSpPr>
        <xdr:cNvPr id="165" name="Line 27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4105275" y="1265872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619125</xdr:colOff>
      <xdr:row>67</xdr:row>
      <xdr:rowOff>19050</xdr:rowOff>
    </xdr:from>
    <xdr:to>
      <xdr:col>6</xdr:col>
      <xdr:colOff>352425</xdr:colOff>
      <xdr:row>67</xdr:row>
      <xdr:rowOff>19050</xdr:rowOff>
    </xdr:to>
    <xdr:sp macro="" textlink="">
      <xdr:nvSpPr>
        <xdr:cNvPr id="166" name="Line 28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4029075" y="126015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64</xdr:row>
      <xdr:rowOff>95250</xdr:rowOff>
    </xdr:from>
    <xdr:to>
      <xdr:col>6</xdr:col>
      <xdr:colOff>114300</xdr:colOff>
      <xdr:row>67</xdr:row>
      <xdr:rowOff>19050</xdr:rowOff>
    </xdr:to>
    <xdr:sp macro="" textlink="">
      <xdr:nvSpPr>
        <xdr:cNvPr id="167" name="Line 28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4286250" y="121920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64</xdr:row>
      <xdr:rowOff>95250</xdr:rowOff>
    </xdr:from>
    <xdr:to>
      <xdr:col>7</xdr:col>
      <xdr:colOff>28575</xdr:colOff>
      <xdr:row>64</xdr:row>
      <xdr:rowOff>95250</xdr:rowOff>
    </xdr:to>
    <xdr:sp macro="" textlink="">
      <xdr:nvSpPr>
        <xdr:cNvPr id="168" name="Line 28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>
          <a:off x="4295775" y="1219200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67</xdr:row>
      <xdr:rowOff>19050</xdr:rowOff>
    </xdr:from>
    <xdr:to>
      <xdr:col>7</xdr:col>
      <xdr:colOff>28575</xdr:colOff>
      <xdr:row>67</xdr:row>
      <xdr:rowOff>19050</xdr:rowOff>
    </xdr:to>
    <xdr:sp macro="" textlink="">
      <xdr:nvSpPr>
        <xdr:cNvPr id="169" name="Line 28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4514850" y="1260157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67</xdr:row>
      <xdr:rowOff>47625</xdr:rowOff>
    </xdr:from>
    <xdr:to>
      <xdr:col>7</xdr:col>
      <xdr:colOff>19050</xdr:colOff>
      <xdr:row>67</xdr:row>
      <xdr:rowOff>47625</xdr:rowOff>
    </xdr:to>
    <xdr:sp macro="" textlink="">
      <xdr:nvSpPr>
        <xdr:cNvPr id="170" name="Line 286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4886325" y="1263015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65</xdr:row>
      <xdr:rowOff>95250</xdr:rowOff>
    </xdr:from>
    <xdr:to>
      <xdr:col>5</xdr:col>
      <xdr:colOff>742950</xdr:colOff>
      <xdr:row>65</xdr:row>
      <xdr:rowOff>104775</xdr:rowOff>
    </xdr:to>
    <xdr:sp macro="" textlink="">
      <xdr:nvSpPr>
        <xdr:cNvPr id="171" name="Line 28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3943350" y="12353925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65</xdr:row>
      <xdr:rowOff>104775</xdr:rowOff>
    </xdr:from>
    <xdr:to>
      <xdr:col>5</xdr:col>
      <xdr:colOff>742950</xdr:colOff>
      <xdr:row>67</xdr:row>
      <xdr:rowOff>19050</xdr:rowOff>
    </xdr:to>
    <xdr:sp macro="" textlink="">
      <xdr:nvSpPr>
        <xdr:cNvPr id="172" name="Line 28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4152900" y="12363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64</xdr:row>
      <xdr:rowOff>95250</xdr:rowOff>
    </xdr:from>
    <xdr:to>
      <xdr:col>5</xdr:col>
      <xdr:colOff>742950</xdr:colOff>
      <xdr:row>65</xdr:row>
      <xdr:rowOff>95250</xdr:rowOff>
    </xdr:to>
    <xdr:sp macro="" textlink="">
      <xdr:nvSpPr>
        <xdr:cNvPr id="173" name="Line 2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 flipV="1">
          <a:off x="4152900" y="1219200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64</xdr:row>
      <xdr:rowOff>95250</xdr:rowOff>
    </xdr:from>
    <xdr:to>
      <xdr:col>5</xdr:col>
      <xdr:colOff>742950</xdr:colOff>
      <xdr:row>64</xdr:row>
      <xdr:rowOff>95250</xdr:rowOff>
    </xdr:to>
    <xdr:sp macro="" textlink="">
      <xdr:nvSpPr>
        <xdr:cNvPr id="174" name="Line 2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 flipH="1">
          <a:off x="4019550" y="12192000"/>
          <a:ext cx="133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64</xdr:row>
      <xdr:rowOff>85725</xdr:rowOff>
    </xdr:from>
    <xdr:to>
      <xdr:col>5</xdr:col>
      <xdr:colOff>609600</xdr:colOff>
      <xdr:row>65</xdr:row>
      <xdr:rowOff>85725</xdr:rowOff>
    </xdr:to>
    <xdr:sp macro="" textlink="">
      <xdr:nvSpPr>
        <xdr:cNvPr id="175" name="Line 2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 flipH="1">
          <a:off x="3857625" y="121824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64</xdr:row>
      <xdr:rowOff>123825</xdr:rowOff>
    </xdr:from>
    <xdr:to>
      <xdr:col>5</xdr:col>
      <xdr:colOff>695325</xdr:colOff>
      <xdr:row>65</xdr:row>
      <xdr:rowOff>66675</xdr:rowOff>
    </xdr:to>
    <xdr:sp macro="" textlink="">
      <xdr:nvSpPr>
        <xdr:cNvPr id="176" name="Rectangle 29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4019550" y="12220575"/>
          <a:ext cx="857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533400</xdr:colOff>
      <xdr:row>66</xdr:row>
      <xdr:rowOff>9525</xdr:rowOff>
    </xdr:from>
    <xdr:to>
      <xdr:col>5</xdr:col>
      <xdr:colOff>685800</xdr:colOff>
      <xdr:row>66</xdr:row>
      <xdr:rowOff>133350</xdr:rowOff>
    </xdr:to>
    <xdr:sp macro="" textlink="">
      <xdr:nvSpPr>
        <xdr:cNvPr id="177" name="Rectangle 29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3943350" y="12430125"/>
          <a:ext cx="152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533400</xdr:colOff>
      <xdr:row>65</xdr:row>
      <xdr:rowOff>95250</xdr:rowOff>
    </xdr:from>
    <xdr:to>
      <xdr:col>5</xdr:col>
      <xdr:colOff>533400</xdr:colOff>
      <xdr:row>67</xdr:row>
      <xdr:rowOff>85725</xdr:rowOff>
    </xdr:to>
    <xdr:sp macro="" textlink="">
      <xdr:nvSpPr>
        <xdr:cNvPr id="178" name="Line 29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>
          <a:off x="3943350" y="123539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64</xdr:row>
      <xdr:rowOff>9525</xdr:rowOff>
    </xdr:from>
    <xdr:to>
      <xdr:col>6</xdr:col>
      <xdr:colOff>9525</xdr:colOff>
      <xdr:row>64</xdr:row>
      <xdr:rowOff>95250</xdr:rowOff>
    </xdr:to>
    <xdr:sp macro="" textlink="">
      <xdr:nvSpPr>
        <xdr:cNvPr id="179" name="Line 29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V="1">
          <a:off x="4152900" y="12106275"/>
          <a:ext cx="285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64</xdr:row>
      <xdr:rowOff>9525</xdr:rowOff>
    </xdr:from>
    <xdr:to>
      <xdr:col>6</xdr:col>
      <xdr:colOff>9525</xdr:colOff>
      <xdr:row>64</xdr:row>
      <xdr:rowOff>85725</xdr:rowOff>
    </xdr:to>
    <xdr:sp macro="" textlink="">
      <xdr:nvSpPr>
        <xdr:cNvPr id="180" name="Line 29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4124325" y="12106275"/>
          <a:ext cx="571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67</xdr:row>
      <xdr:rowOff>47625</xdr:rowOff>
    </xdr:from>
    <xdr:to>
      <xdr:col>5</xdr:col>
      <xdr:colOff>657225</xdr:colOff>
      <xdr:row>67</xdr:row>
      <xdr:rowOff>123825</xdr:rowOff>
    </xdr:to>
    <xdr:sp macro="" textlink="">
      <xdr:nvSpPr>
        <xdr:cNvPr id="181" name="Oval 297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3990975" y="126301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619125</xdr:colOff>
      <xdr:row>67</xdr:row>
      <xdr:rowOff>47625</xdr:rowOff>
    </xdr:from>
    <xdr:to>
      <xdr:col>6</xdr:col>
      <xdr:colOff>695325</xdr:colOff>
      <xdr:row>67</xdr:row>
      <xdr:rowOff>123825</xdr:rowOff>
    </xdr:to>
    <xdr:sp macro="" textlink="">
      <xdr:nvSpPr>
        <xdr:cNvPr id="182" name="Oval 29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4791075" y="126301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65</xdr:row>
      <xdr:rowOff>0</xdr:rowOff>
    </xdr:from>
    <xdr:to>
      <xdr:col>7</xdr:col>
      <xdr:colOff>28575</xdr:colOff>
      <xdr:row>65</xdr:row>
      <xdr:rowOff>0</xdr:rowOff>
    </xdr:to>
    <xdr:sp macro="" textlink="">
      <xdr:nvSpPr>
        <xdr:cNvPr id="183" name="Line 29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ShapeType="1"/>
        </xdr:cNvSpPr>
      </xdr:nvSpPr>
      <xdr:spPr bwMode="auto">
        <a:xfrm>
          <a:off x="4286250" y="1225867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66</xdr:row>
      <xdr:rowOff>123825</xdr:rowOff>
    </xdr:from>
    <xdr:to>
      <xdr:col>6</xdr:col>
      <xdr:colOff>114300</xdr:colOff>
      <xdr:row>66</xdr:row>
      <xdr:rowOff>123825</xdr:rowOff>
    </xdr:to>
    <xdr:sp macro="" textlink="">
      <xdr:nvSpPr>
        <xdr:cNvPr id="184" name="Line 30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ShapeType="1"/>
        </xdr:cNvSpPr>
      </xdr:nvSpPr>
      <xdr:spPr bwMode="auto">
        <a:xfrm>
          <a:off x="4152900" y="12544425"/>
          <a:ext cx="133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64</xdr:row>
      <xdr:rowOff>95250</xdr:rowOff>
    </xdr:from>
    <xdr:to>
      <xdr:col>7</xdr:col>
      <xdr:colOff>28575</xdr:colOff>
      <xdr:row>67</xdr:row>
      <xdr:rowOff>47625</xdr:rowOff>
    </xdr:to>
    <xdr:sp macro="" textlink="">
      <xdr:nvSpPr>
        <xdr:cNvPr id="185" name="Line 30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ShapeType="1"/>
        </xdr:cNvSpPr>
      </xdr:nvSpPr>
      <xdr:spPr bwMode="auto">
        <a:xfrm flipV="1">
          <a:off x="4962525" y="12192000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371000</xdr:colOff>
      <xdr:row>2</xdr:row>
      <xdr:rowOff>142875</xdr:rowOff>
    </xdr:from>
    <xdr:to>
      <xdr:col>7</xdr:col>
      <xdr:colOff>416719</xdr:colOff>
      <xdr:row>5</xdr:row>
      <xdr:rowOff>77391</xdr:rowOff>
    </xdr:to>
    <xdr:sp macro="" textlink="">
      <xdr:nvSpPr>
        <xdr:cNvPr id="186" name="Flecha abaj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304950" y="666750"/>
          <a:ext cx="45719" cy="420291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  <a:p>
          <a:pPr algn="l"/>
          <a:endParaRPr lang="es-PE" sz="1100"/>
        </a:p>
      </xdr:txBody>
    </xdr:sp>
    <xdr:clientData/>
  </xdr:twoCellAnchor>
  <xdr:twoCellAnchor>
    <xdr:from>
      <xdr:col>6</xdr:col>
      <xdr:colOff>357187</xdr:colOff>
      <xdr:row>2</xdr:row>
      <xdr:rowOff>142875</xdr:rowOff>
    </xdr:from>
    <xdr:to>
      <xdr:col>6</xdr:col>
      <xdr:colOff>402906</xdr:colOff>
      <xdr:row>5</xdr:row>
      <xdr:rowOff>77391</xdr:rowOff>
    </xdr:to>
    <xdr:sp macro="" textlink="">
      <xdr:nvSpPr>
        <xdr:cNvPr id="187" name="Flecha abaj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4529137" y="666750"/>
          <a:ext cx="45719" cy="420291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  <a:p>
          <a:pPr algn="l"/>
          <a:endParaRPr lang="es-PE" sz="1100"/>
        </a:p>
      </xdr:txBody>
    </xdr:sp>
    <xdr:clientData/>
  </xdr:twoCellAnchor>
  <xdr:twoCellAnchor>
    <xdr:from>
      <xdr:col>5</xdr:col>
      <xdr:colOff>595313</xdr:colOff>
      <xdr:row>2</xdr:row>
      <xdr:rowOff>125016</xdr:rowOff>
    </xdr:from>
    <xdr:to>
      <xdr:col>5</xdr:col>
      <xdr:colOff>641032</xdr:colOff>
      <xdr:row>5</xdr:row>
      <xdr:rowOff>59532</xdr:rowOff>
    </xdr:to>
    <xdr:sp macro="" textlink="">
      <xdr:nvSpPr>
        <xdr:cNvPr id="188" name="Flecha abaj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4005263" y="648891"/>
          <a:ext cx="45719" cy="420291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  <a:p>
          <a:pPr algn="l"/>
          <a:endParaRPr lang="es-PE" sz="1100"/>
        </a:p>
      </xdr:txBody>
    </xdr:sp>
    <xdr:clientData/>
  </xdr:twoCellAnchor>
  <xdr:twoCellAnchor editAs="oneCell">
    <xdr:from>
      <xdr:col>1</xdr:col>
      <xdr:colOff>47625</xdr:colOff>
      <xdr:row>69</xdr:row>
      <xdr:rowOff>19050</xdr:rowOff>
    </xdr:from>
    <xdr:to>
      <xdr:col>7</xdr:col>
      <xdr:colOff>315686</xdr:colOff>
      <xdr:row>84</xdr:row>
      <xdr:rowOff>68035</xdr:rowOff>
    </xdr:to>
    <xdr:pic>
      <xdr:nvPicPr>
        <xdr:cNvPr id="189" name="Imagen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54" y="13170354"/>
          <a:ext cx="5461907" cy="3192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127454</xdr:colOff>
      <xdr:row>78</xdr:row>
      <xdr:rowOff>23585</xdr:rowOff>
    </xdr:from>
    <xdr:to>
      <xdr:col>7</xdr:col>
      <xdr:colOff>544285</xdr:colOff>
      <xdr:row>78</xdr:row>
      <xdr:rowOff>149678</xdr:rowOff>
    </xdr:to>
    <xdr:sp macro="" textlink="">
      <xdr:nvSpPr>
        <xdr:cNvPr id="190" name="Rectángulo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181883" y="14889389"/>
          <a:ext cx="5288188" cy="12609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368300</xdr:colOff>
      <xdr:row>63</xdr:row>
      <xdr:rowOff>158750</xdr:rowOff>
    </xdr:from>
    <xdr:to>
      <xdr:col>3</xdr:col>
      <xdr:colOff>414019</xdr:colOff>
      <xdr:row>67</xdr:row>
      <xdr:rowOff>93266</xdr:rowOff>
    </xdr:to>
    <xdr:sp macro="" textlink="">
      <xdr:nvSpPr>
        <xdr:cNvPr id="191" name="Flecha abajo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2054225" y="12093575"/>
          <a:ext cx="45719" cy="582216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  <a:p>
          <a:pPr algn="l"/>
          <a:endParaRPr lang="es-PE" sz="1100"/>
        </a:p>
      </xdr:txBody>
    </xdr:sp>
    <xdr:clientData/>
  </xdr:twoCellAnchor>
  <xdr:twoCellAnchor>
    <xdr:from>
      <xdr:col>2</xdr:col>
      <xdr:colOff>349250</xdr:colOff>
      <xdr:row>63</xdr:row>
      <xdr:rowOff>120650</xdr:rowOff>
    </xdr:from>
    <xdr:to>
      <xdr:col>2</xdr:col>
      <xdr:colOff>394969</xdr:colOff>
      <xdr:row>67</xdr:row>
      <xdr:rowOff>55166</xdr:rowOff>
    </xdr:to>
    <xdr:sp macro="" textlink="">
      <xdr:nvSpPr>
        <xdr:cNvPr id="192" name="Flecha abajo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1273175" y="12055475"/>
          <a:ext cx="45719" cy="582216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  <a:p>
          <a:pPr algn="l"/>
          <a:endParaRPr lang="es-PE" sz="1100"/>
        </a:p>
      </xdr:txBody>
    </xdr:sp>
    <xdr:clientData/>
  </xdr:twoCellAnchor>
  <xdr:twoCellAnchor>
    <xdr:from>
      <xdr:col>1</xdr:col>
      <xdr:colOff>577850</xdr:colOff>
      <xdr:row>63</xdr:row>
      <xdr:rowOff>114300</xdr:rowOff>
    </xdr:from>
    <xdr:to>
      <xdr:col>1</xdr:col>
      <xdr:colOff>623569</xdr:colOff>
      <xdr:row>67</xdr:row>
      <xdr:rowOff>48816</xdr:rowOff>
    </xdr:to>
    <xdr:sp macro="" textlink="">
      <xdr:nvSpPr>
        <xdr:cNvPr id="193" name="Flecha abajo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35000" y="12049125"/>
          <a:ext cx="45719" cy="582216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  <a:p>
          <a:pPr algn="l"/>
          <a:endParaRPr lang="es-PE" sz="1100"/>
        </a:p>
      </xdr:txBody>
    </xdr:sp>
    <xdr:clientData/>
  </xdr:twoCellAnchor>
  <xdr:twoCellAnchor>
    <xdr:from>
      <xdr:col>5</xdr:col>
      <xdr:colOff>596900</xdr:colOff>
      <xdr:row>63</xdr:row>
      <xdr:rowOff>139700</xdr:rowOff>
    </xdr:from>
    <xdr:to>
      <xdr:col>5</xdr:col>
      <xdr:colOff>642619</xdr:colOff>
      <xdr:row>67</xdr:row>
      <xdr:rowOff>74216</xdr:rowOff>
    </xdr:to>
    <xdr:sp macro="" textlink="">
      <xdr:nvSpPr>
        <xdr:cNvPr id="194" name="Flecha abajo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4006850" y="12074525"/>
          <a:ext cx="45719" cy="582216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  <a:p>
          <a:pPr algn="l"/>
          <a:endParaRPr lang="es-PE" sz="1100"/>
        </a:p>
      </xdr:txBody>
    </xdr:sp>
    <xdr:clientData/>
  </xdr:twoCellAnchor>
  <xdr:twoCellAnchor>
    <xdr:from>
      <xdr:col>6</xdr:col>
      <xdr:colOff>641350</xdr:colOff>
      <xdr:row>63</xdr:row>
      <xdr:rowOff>82550</xdr:rowOff>
    </xdr:from>
    <xdr:to>
      <xdr:col>6</xdr:col>
      <xdr:colOff>687069</xdr:colOff>
      <xdr:row>67</xdr:row>
      <xdr:rowOff>17066</xdr:rowOff>
    </xdr:to>
    <xdr:sp macro="" textlink="">
      <xdr:nvSpPr>
        <xdr:cNvPr id="195" name="Flecha abajo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4813300" y="12017375"/>
          <a:ext cx="45719" cy="582216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  <a:p>
          <a:pPr algn="l"/>
          <a:endParaRPr lang="es-PE" sz="1100"/>
        </a:p>
      </xdr:txBody>
    </xdr:sp>
    <xdr:clientData/>
  </xdr:twoCellAnchor>
  <xdr:twoCellAnchor editAs="oneCell">
    <xdr:from>
      <xdr:col>3</xdr:col>
      <xdr:colOff>152400</xdr:colOff>
      <xdr:row>135</xdr:row>
      <xdr:rowOff>0</xdr:rowOff>
    </xdr:from>
    <xdr:to>
      <xdr:col>5</xdr:col>
      <xdr:colOff>416379</xdr:colOff>
      <xdr:row>138</xdr:row>
      <xdr:rowOff>95250</xdr:rowOff>
    </xdr:to>
    <xdr:pic>
      <xdr:nvPicPr>
        <xdr:cNvPr id="196" name="Imagen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25488900"/>
          <a:ext cx="1781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159</xdr:row>
      <xdr:rowOff>0</xdr:rowOff>
    </xdr:from>
    <xdr:to>
      <xdr:col>7</xdr:col>
      <xdr:colOff>0</xdr:colOff>
      <xdr:row>161</xdr:row>
      <xdr:rowOff>0</xdr:rowOff>
    </xdr:to>
    <xdr:sp macro="" textlink="">
      <xdr:nvSpPr>
        <xdr:cNvPr id="197" name="Rectangle 2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923925" y="29708475"/>
          <a:ext cx="40100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190499</xdr:colOff>
      <xdr:row>186</xdr:row>
      <xdr:rowOff>58510</xdr:rowOff>
    </xdr:from>
    <xdr:to>
      <xdr:col>7</xdr:col>
      <xdr:colOff>666749</xdr:colOff>
      <xdr:row>195</xdr:row>
      <xdr:rowOff>153760</xdr:rowOff>
    </xdr:to>
    <xdr:grpSp>
      <xdr:nvGrpSpPr>
        <xdr:cNvPr id="198" name="Grupo 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GrpSpPr>
          <a:grpSpLocks/>
        </xdr:cNvGrpSpPr>
      </xdr:nvGrpSpPr>
      <xdr:grpSpPr bwMode="auto">
        <a:xfrm>
          <a:off x="3809999" y="38749060"/>
          <a:ext cx="2114550" cy="1943100"/>
          <a:chOff x="3548124" y="43189070"/>
          <a:chExt cx="1997762" cy="1408340"/>
        </a:xfrm>
      </xdr:grpSpPr>
      <xdr:pic>
        <xdr:nvPicPr>
          <xdr:cNvPr id="199" name="Imagen 3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48124" y="43189070"/>
            <a:ext cx="1997762" cy="13359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" name="CuadroTexto 199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 txBox="1"/>
        </xdr:nvSpPr>
        <xdr:spPr>
          <a:xfrm>
            <a:off x="3957190" y="43811159"/>
            <a:ext cx="485171" cy="25920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1100"/>
              <a:t>0.15</a:t>
            </a:r>
          </a:p>
        </xdr:txBody>
      </xdr:sp>
      <xdr:sp macro="" textlink="">
        <xdr:nvSpPr>
          <xdr:cNvPr id="201" name="CuadroTexto 200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 txBox="1"/>
        </xdr:nvSpPr>
        <xdr:spPr>
          <a:xfrm>
            <a:off x="4309176" y="44346846"/>
            <a:ext cx="561276" cy="25056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1100"/>
              <a:t>15cm</a:t>
            </a:r>
          </a:p>
        </xdr:txBody>
      </xdr:sp>
    </xdr:grpSp>
    <xdr:clientData/>
  </xdr:twoCellAnchor>
  <xdr:twoCellAnchor>
    <xdr:from>
      <xdr:col>1</xdr:col>
      <xdr:colOff>517069</xdr:colOff>
      <xdr:row>201</xdr:row>
      <xdr:rowOff>88447</xdr:rowOff>
    </xdr:from>
    <xdr:to>
      <xdr:col>5</xdr:col>
      <xdr:colOff>456447</xdr:colOff>
      <xdr:row>207</xdr:row>
      <xdr:rowOff>190500</xdr:rowOff>
    </xdr:to>
    <xdr:grpSp>
      <xdr:nvGrpSpPr>
        <xdr:cNvPr id="206" name="Grupo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GrpSpPr/>
      </xdr:nvGrpSpPr>
      <xdr:grpSpPr>
        <a:xfrm>
          <a:off x="574219" y="41884147"/>
          <a:ext cx="3501728" cy="1359353"/>
          <a:chOff x="571498" y="40766999"/>
          <a:chExt cx="3286735" cy="1333500"/>
        </a:xfrm>
      </xdr:grpSpPr>
      <xdr:grpSp>
        <xdr:nvGrpSpPr>
          <xdr:cNvPr id="204" name="Grupo 203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GrpSpPr/>
        </xdr:nvGrpSpPr>
        <xdr:grpSpPr>
          <a:xfrm>
            <a:off x="571498" y="40766999"/>
            <a:ext cx="3286735" cy="1238251"/>
            <a:chOff x="571498" y="40766999"/>
            <a:chExt cx="3286735" cy="1238251"/>
          </a:xfrm>
        </xdr:grpSpPr>
        <xdr:pic>
          <xdr:nvPicPr>
            <xdr:cNvPr id="202" name="Imagen 201">
              <a:extLst>
                <a:ext uri="{FF2B5EF4-FFF2-40B4-BE49-F238E27FC236}">
                  <a16:creationId xmlns:a16="http://schemas.microsoft.com/office/drawing/2014/main" id="{00000000-0008-0000-0000-0000C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/>
            <a:srcRect b="11254"/>
            <a:stretch/>
          </xdr:blipFill>
          <xdr:spPr>
            <a:xfrm>
              <a:off x="571498" y="40849009"/>
              <a:ext cx="3286735" cy="1156241"/>
            </a:xfrm>
            <a:prstGeom prst="rect">
              <a:avLst/>
            </a:prstGeom>
          </xdr:spPr>
        </xdr:pic>
        <xdr:sp macro="" textlink="">
          <xdr:nvSpPr>
            <xdr:cNvPr id="203" name="CuadroTexto 202">
              <a:extLst>
                <a:ext uri="{FF2B5EF4-FFF2-40B4-BE49-F238E27FC236}">
                  <a16:creationId xmlns:a16="http://schemas.microsoft.com/office/drawing/2014/main" id="{00000000-0008-0000-0000-0000CB000000}"/>
                </a:ext>
              </a:extLst>
            </xdr:cNvPr>
            <xdr:cNvSpPr txBox="1"/>
          </xdr:nvSpPr>
          <xdr:spPr>
            <a:xfrm>
              <a:off x="1496786" y="40766999"/>
              <a:ext cx="517071" cy="19730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s-PE" sz="900"/>
                <a:t>15cm</a:t>
              </a:r>
            </a:p>
          </xdr:txBody>
        </xdr:sp>
      </xdr:grpSp>
      <xdr:sp macro="" textlink="">
        <xdr:nvSpPr>
          <xdr:cNvPr id="205" name="CuadroTexto 204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SpPr txBox="1"/>
        </xdr:nvSpPr>
        <xdr:spPr>
          <a:xfrm>
            <a:off x="571500" y="41903196"/>
            <a:ext cx="796018" cy="1973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900"/>
              <a:t>1</a:t>
            </a:r>
            <a:r>
              <a:rPr lang="el-GR" sz="900"/>
              <a:t>Φ</a:t>
            </a:r>
            <a:r>
              <a:rPr lang="es-PE" sz="900"/>
              <a:t>1"@0.15</a:t>
            </a:r>
          </a:p>
        </xdr:txBody>
      </xdr:sp>
    </xdr:grpSp>
    <xdr:clientData/>
  </xdr:twoCellAnchor>
  <xdr:twoCellAnchor editAs="oneCell">
    <xdr:from>
      <xdr:col>1</xdr:col>
      <xdr:colOff>489857</xdr:colOff>
      <xdr:row>226</xdr:row>
      <xdr:rowOff>6802</xdr:rowOff>
    </xdr:from>
    <xdr:to>
      <xdr:col>3</xdr:col>
      <xdr:colOff>170089</xdr:colOff>
      <xdr:row>229</xdr:row>
      <xdr:rowOff>46911</xdr:rowOff>
    </xdr:to>
    <xdr:pic>
      <xdr:nvPicPr>
        <xdr:cNvPr id="207" name="Imagen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4286" y="44386498"/>
          <a:ext cx="1523999" cy="668759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428627</xdr:colOff>
      <xdr:row>226</xdr:row>
      <xdr:rowOff>68038</xdr:rowOff>
    </xdr:from>
    <xdr:to>
      <xdr:col>6</xdr:col>
      <xdr:colOff>786494</xdr:colOff>
      <xdr:row>229</xdr:row>
      <xdr:rowOff>80554</xdr:rowOff>
    </xdr:to>
    <xdr:pic>
      <xdr:nvPicPr>
        <xdr:cNvPr id="208" name="Imagen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46073" y="44447734"/>
          <a:ext cx="1129392" cy="641166"/>
        </a:xfrm>
        <a:prstGeom prst="rect">
          <a:avLst/>
        </a:prstGeom>
      </xdr:spPr>
    </xdr:pic>
    <xdr:clientData/>
  </xdr:twoCellAnchor>
  <xdr:oneCellAnchor>
    <xdr:from>
      <xdr:col>3</xdr:col>
      <xdr:colOff>152400</xdr:colOff>
      <xdr:row>274</xdr:row>
      <xdr:rowOff>0</xdr:rowOff>
    </xdr:from>
    <xdr:ext cx="1978479" cy="723900"/>
    <xdr:pic>
      <xdr:nvPicPr>
        <xdr:cNvPr id="210" name="Imagen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882" y="25805946"/>
          <a:ext cx="197847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289</xdr:row>
      <xdr:rowOff>0</xdr:rowOff>
    </xdr:from>
    <xdr:to>
      <xdr:col>7</xdr:col>
      <xdr:colOff>0</xdr:colOff>
      <xdr:row>291</xdr:row>
      <xdr:rowOff>0</xdr:rowOff>
    </xdr:to>
    <xdr:sp macro="" textlink="">
      <xdr:nvSpPr>
        <xdr:cNvPr id="211" name="Rectangle 2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918482" y="29867679"/>
          <a:ext cx="4225018" cy="3878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0</xdr:colOff>
      <xdr:row>299</xdr:row>
      <xdr:rowOff>0</xdr:rowOff>
    </xdr:from>
    <xdr:to>
      <xdr:col>7</xdr:col>
      <xdr:colOff>0</xdr:colOff>
      <xdr:row>301</xdr:row>
      <xdr:rowOff>0</xdr:rowOff>
    </xdr:to>
    <xdr:sp macro="" textlink="">
      <xdr:nvSpPr>
        <xdr:cNvPr id="212" name="Rectangle 2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918482" y="31786286"/>
          <a:ext cx="4225018" cy="3878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190499</xdr:colOff>
      <xdr:row>306</xdr:row>
      <xdr:rowOff>58510</xdr:rowOff>
    </xdr:from>
    <xdr:to>
      <xdr:col>7</xdr:col>
      <xdr:colOff>666749</xdr:colOff>
      <xdr:row>314</xdr:row>
      <xdr:rowOff>153760</xdr:rowOff>
    </xdr:to>
    <xdr:grpSp>
      <xdr:nvGrpSpPr>
        <xdr:cNvPr id="213" name="Grupo 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GrpSpPr>
          <a:grpSpLocks/>
        </xdr:cNvGrpSpPr>
      </xdr:nvGrpSpPr>
      <xdr:grpSpPr bwMode="auto">
        <a:xfrm>
          <a:off x="3809999" y="63933160"/>
          <a:ext cx="2114550" cy="1752600"/>
          <a:chOff x="3548124" y="43189070"/>
          <a:chExt cx="1997762" cy="1408340"/>
        </a:xfrm>
      </xdr:grpSpPr>
      <xdr:pic>
        <xdr:nvPicPr>
          <xdr:cNvPr id="214" name="Imagen 3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48124" y="43189070"/>
            <a:ext cx="1997762" cy="13359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" name="CuadroTexto 214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SpPr txBox="1"/>
        </xdr:nvSpPr>
        <xdr:spPr>
          <a:xfrm>
            <a:off x="3957190" y="43811159"/>
            <a:ext cx="485171" cy="25920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1100"/>
              <a:t>0.12</a:t>
            </a:r>
          </a:p>
        </xdr:txBody>
      </xdr:sp>
      <xdr:sp macro="" textlink="">
        <xdr:nvSpPr>
          <xdr:cNvPr id="216" name="CuadroTexto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 txBox="1"/>
        </xdr:nvSpPr>
        <xdr:spPr>
          <a:xfrm>
            <a:off x="4309176" y="44346846"/>
            <a:ext cx="561276" cy="25056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1100"/>
              <a:t>12cm</a:t>
            </a:r>
          </a:p>
        </xdr:txBody>
      </xdr:sp>
    </xdr:grpSp>
    <xdr:clientData/>
  </xdr:twoCellAnchor>
  <xdr:twoCellAnchor>
    <xdr:from>
      <xdr:col>1</xdr:col>
      <xdr:colOff>517069</xdr:colOff>
      <xdr:row>320</xdr:row>
      <xdr:rowOff>88447</xdr:rowOff>
    </xdr:from>
    <xdr:to>
      <xdr:col>5</xdr:col>
      <xdr:colOff>456447</xdr:colOff>
      <xdr:row>327</xdr:row>
      <xdr:rowOff>0</xdr:rowOff>
    </xdr:to>
    <xdr:grpSp>
      <xdr:nvGrpSpPr>
        <xdr:cNvPr id="217" name="Grupo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GrpSpPr/>
      </xdr:nvGrpSpPr>
      <xdr:grpSpPr>
        <a:xfrm>
          <a:off x="574219" y="66877747"/>
          <a:ext cx="3501728" cy="1378403"/>
          <a:chOff x="571498" y="40766999"/>
          <a:chExt cx="3286735" cy="1333500"/>
        </a:xfrm>
      </xdr:grpSpPr>
      <xdr:grpSp>
        <xdr:nvGrpSpPr>
          <xdr:cNvPr id="218" name="Grupo 217">
            <a:extLst>
              <a:ext uri="{FF2B5EF4-FFF2-40B4-BE49-F238E27FC236}">
                <a16:creationId xmlns:a16="http://schemas.microsoft.com/office/drawing/2014/main" id="{00000000-0008-0000-0000-0000DA000000}"/>
              </a:ext>
            </a:extLst>
          </xdr:cNvPr>
          <xdr:cNvGrpSpPr/>
        </xdr:nvGrpSpPr>
        <xdr:grpSpPr>
          <a:xfrm>
            <a:off x="571498" y="40766999"/>
            <a:ext cx="3286735" cy="1238251"/>
            <a:chOff x="571498" y="40766999"/>
            <a:chExt cx="3286735" cy="1238251"/>
          </a:xfrm>
        </xdr:grpSpPr>
        <xdr:pic>
          <xdr:nvPicPr>
            <xdr:cNvPr id="220" name="Imagen 219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/>
            <a:srcRect b="11254"/>
            <a:stretch/>
          </xdr:blipFill>
          <xdr:spPr>
            <a:xfrm>
              <a:off x="571498" y="40849009"/>
              <a:ext cx="3286735" cy="1156241"/>
            </a:xfrm>
            <a:prstGeom prst="rect">
              <a:avLst/>
            </a:prstGeom>
          </xdr:spPr>
        </xdr:pic>
        <xdr:sp macro="" textlink="">
          <xdr:nvSpPr>
            <xdr:cNvPr id="221" name="CuadroTexto 220">
              <a:extLst>
                <a:ext uri="{FF2B5EF4-FFF2-40B4-BE49-F238E27FC236}">
                  <a16:creationId xmlns:a16="http://schemas.microsoft.com/office/drawing/2014/main" id="{00000000-0008-0000-0000-0000DD000000}"/>
                </a:ext>
              </a:extLst>
            </xdr:cNvPr>
            <xdr:cNvSpPr txBox="1"/>
          </xdr:nvSpPr>
          <xdr:spPr>
            <a:xfrm>
              <a:off x="1496786" y="40766999"/>
              <a:ext cx="517071" cy="19730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s-PE" sz="900"/>
                <a:t>12cm</a:t>
              </a:r>
            </a:p>
          </xdr:txBody>
        </xdr:sp>
      </xdr:grpSp>
      <xdr:sp macro="" textlink="">
        <xdr:nvSpPr>
          <xdr:cNvPr id="219" name="CuadroTexto 218">
            <a:extLst>
              <a:ext uri="{FF2B5EF4-FFF2-40B4-BE49-F238E27FC236}">
                <a16:creationId xmlns:a16="http://schemas.microsoft.com/office/drawing/2014/main" id="{00000000-0008-0000-0000-0000DB000000}"/>
              </a:ext>
            </a:extLst>
          </xdr:cNvPr>
          <xdr:cNvSpPr txBox="1"/>
        </xdr:nvSpPr>
        <xdr:spPr>
          <a:xfrm>
            <a:off x="571500" y="41903196"/>
            <a:ext cx="796018" cy="1973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900"/>
              <a:t>1</a:t>
            </a:r>
            <a:r>
              <a:rPr lang="el-GR" sz="900"/>
              <a:t>Φ</a:t>
            </a:r>
            <a:r>
              <a:rPr lang="es-PE" sz="900"/>
              <a:t>1"@0.12</a:t>
            </a:r>
          </a:p>
        </xdr:txBody>
      </xdr:sp>
    </xdr:grpSp>
    <xdr:clientData/>
  </xdr:twoCellAnchor>
  <xdr:oneCellAnchor>
    <xdr:from>
      <xdr:col>1</xdr:col>
      <xdr:colOff>489857</xdr:colOff>
      <xdr:row>347</xdr:row>
      <xdr:rowOff>6802</xdr:rowOff>
    </xdr:from>
    <xdr:ext cx="1523999" cy="668759"/>
    <xdr:pic>
      <xdr:nvPicPr>
        <xdr:cNvPr id="222" name="Imagen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4286" y="44957998"/>
          <a:ext cx="1523999" cy="668759"/>
        </a:xfrm>
        <a:prstGeom prst="rect">
          <a:avLst/>
        </a:prstGeom>
      </xdr:spPr>
    </xdr:pic>
    <xdr:clientData/>
  </xdr:oneCellAnchor>
  <xdr:oneCellAnchor>
    <xdr:from>
      <xdr:col>5</xdr:col>
      <xdr:colOff>428627</xdr:colOff>
      <xdr:row>347</xdr:row>
      <xdr:rowOff>68038</xdr:rowOff>
    </xdr:from>
    <xdr:ext cx="1129392" cy="641166"/>
    <xdr:pic>
      <xdr:nvPicPr>
        <xdr:cNvPr id="223" name="Imagen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23609" y="45019234"/>
          <a:ext cx="1129392" cy="641166"/>
        </a:xfrm>
        <a:prstGeom prst="rect">
          <a:avLst/>
        </a:prstGeom>
      </xdr:spPr>
    </xdr:pic>
    <xdr:clientData/>
  </xdr:oneCellAnchor>
  <xdr:twoCellAnchor editAs="oneCell">
    <xdr:from>
      <xdr:col>1</xdr:col>
      <xdr:colOff>27214</xdr:colOff>
      <xdr:row>356</xdr:row>
      <xdr:rowOff>61231</xdr:rowOff>
    </xdr:from>
    <xdr:to>
      <xdr:col>6</xdr:col>
      <xdr:colOff>344261</xdr:colOff>
      <xdr:row>359</xdr:row>
      <xdr:rowOff>64868</xdr:rowOff>
    </xdr:to>
    <xdr:pic>
      <xdr:nvPicPr>
        <xdr:cNvPr id="224" name="Imagen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2107"/>
        <a:stretch/>
      </xdr:blipFill>
      <xdr:spPr>
        <a:xfrm>
          <a:off x="81643" y="67545856"/>
          <a:ext cx="4646839" cy="632287"/>
        </a:xfrm>
        <a:prstGeom prst="rect">
          <a:avLst/>
        </a:prstGeom>
      </xdr:spPr>
    </xdr:pic>
    <xdr:clientData/>
  </xdr:twoCellAnchor>
  <xdr:twoCellAnchor editAs="oneCell">
    <xdr:from>
      <xdr:col>1</xdr:col>
      <xdr:colOff>482812</xdr:colOff>
      <xdr:row>359</xdr:row>
      <xdr:rowOff>156481</xdr:rowOff>
    </xdr:from>
    <xdr:to>
      <xdr:col>5</xdr:col>
      <xdr:colOff>364527</xdr:colOff>
      <xdr:row>366</xdr:row>
      <xdr:rowOff>186418</xdr:rowOff>
    </xdr:to>
    <xdr:pic>
      <xdr:nvPicPr>
        <xdr:cNvPr id="225" name="Imagen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7241" y="68212606"/>
          <a:ext cx="3439982" cy="149678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376</xdr:row>
      <xdr:rowOff>0</xdr:rowOff>
    </xdr:from>
    <xdr:to>
      <xdr:col>6</xdr:col>
      <xdr:colOff>493940</xdr:colOff>
      <xdr:row>379</xdr:row>
      <xdr:rowOff>40109</xdr:rowOff>
    </xdr:to>
    <xdr:pic>
      <xdr:nvPicPr>
        <xdr:cNvPr id="226" name="Imagen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4429" y="71485125"/>
          <a:ext cx="4823732" cy="668759"/>
        </a:xfrm>
        <a:prstGeom prst="rect">
          <a:avLst/>
        </a:prstGeom>
      </xdr:spPr>
    </xdr:pic>
    <xdr:clientData/>
  </xdr:twoCellAnchor>
  <xdr:twoCellAnchor>
    <xdr:from>
      <xdr:col>3</xdr:col>
      <xdr:colOff>170090</xdr:colOff>
      <xdr:row>387</xdr:row>
      <xdr:rowOff>54429</xdr:rowOff>
    </xdr:from>
    <xdr:to>
      <xdr:col>3</xdr:col>
      <xdr:colOff>746090</xdr:colOff>
      <xdr:row>387</xdr:row>
      <xdr:rowOff>54429</xdr:rowOff>
    </xdr:to>
    <xdr:cxnSp macro="">
      <xdr:nvCxnSpPr>
        <xdr:cNvPr id="228" name="Conector recto de flecha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CxnSpPr/>
      </xdr:nvCxnSpPr>
      <xdr:spPr>
        <a:xfrm flipV="1">
          <a:off x="2068286" y="73635054"/>
          <a:ext cx="5760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197302</xdr:colOff>
      <xdr:row>412</xdr:row>
      <xdr:rowOff>163285</xdr:rowOff>
    </xdr:from>
    <xdr:to>
      <xdr:col>1</xdr:col>
      <xdr:colOff>700767</xdr:colOff>
      <xdr:row>414</xdr:row>
      <xdr:rowOff>115660</xdr:rowOff>
    </xdr:to>
    <xdr:sp macro="" textlink="">
      <xdr:nvSpPr>
        <xdr:cNvPr id="229" name="Triángulo isósceles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251731" y="78506410"/>
          <a:ext cx="503465" cy="33337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197304</xdr:colOff>
      <xdr:row>412</xdr:row>
      <xdr:rowOff>163286</xdr:rowOff>
    </xdr:from>
    <xdr:to>
      <xdr:col>7</xdr:col>
      <xdr:colOff>578304</xdr:colOff>
      <xdr:row>414</xdr:row>
      <xdr:rowOff>61232</xdr:rowOff>
    </xdr:to>
    <xdr:sp macro="" textlink="">
      <xdr:nvSpPr>
        <xdr:cNvPr id="230" name="Elips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5436054" y="78506411"/>
          <a:ext cx="381000" cy="27894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</xdr:col>
      <xdr:colOff>442231</xdr:colOff>
      <xdr:row>411</xdr:row>
      <xdr:rowOff>170090</xdr:rowOff>
    </xdr:from>
    <xdr:to>
      <xdr:col>7</xdr:col>
      <xdr:colOff>387803</xdr:colOff>
      <xdr:row>412</xdr:row>
      <xdr:rowOff>25309</xdr:rowOff>
    </xdr:to>
    <xdr:sp macro="" textlink="">
      <xdr:nvSpPr>
        <xdr:cNvPr id="231" name="Rectángulo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496660" y="78322715"/>
          <a:ext cx="5129893" cy="4571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</xdr:col>
      <xdr:colOff>449036</xdr:colOff>
      <xdr:row>408</xdr:row>
      <xdr:rowOff>102054</xdr:rowOff>
    </xdr:from>
    <xdr:to>
      <xdr:col>7</xdr:col>
      <xdr:colOff>394608</xdr:colOff>
      <xdr:row>408</xdr:row>
      <xdr:rowOff>147773</xdr:rowOff>
    </xdr:to>
    <xdr:sp macro="" textlink="">
      <xdr:nvSpPr>
        <xdr:cNvPr id="232" name="Rectángulo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03465" y="77683179"/>
          <a:ext cx="5129893" cy="4571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</xdr:col>
      <xdr:colOff>523875</xdr:colOff>
      <xdr:row>411</xdr:row>
      <xdr:rowOff>47624</xdr:rowOff>
    </xdr:from>
    <xdr:to>
      <xdr:col>7</xdr:col>
      <xdr:colOff>209550</xdr:colOff>
      <xdr:row>411</xdr:row>
      <xdr:rowOff>152400</xdr:rowOff>
    </xdr:to>
    <xdr:grpSp>
      <xdr:nvGrpSpPr>
        <xdr:cNvPr id="235" name="Grupo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GrpSpPr/>
      </xdr:nvGrpSpPr>
      <xdr:grpSpPr>
        <a:xfrm>
          <a:off x="581025" y="85886924"/>
          <a:ext cx="4886325" cy="104776"/>
          <a:chOff x="578304" y="78200249"/>
          <a:chExt cx="4869996" cy="104776"/>
        </a:xfrm>
      </xdr:grpSpPr>
      <xdr:sp macro="" textlink="">
        <xdr:nvSpPr>
          <xdr:cNvPr id="44" name="Oval 51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 rot="10517543">
            <a:off x="578304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5" name="Oval 52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928007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6" name="Oval 53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1204232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7" name="Oval 54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1470932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8" name="Oval 55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1945821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9" name="Oval 56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20299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0" name="Oval 57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246969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1" name="Oval 58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2801711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2" name="Oval 59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3087461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3" name="Oval 60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338273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4" name="Oval 61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ChangeArrowheads="1"/>
          </xdr:cNvSpPr>
        </xdr:nvSpPr>
        <xdr:spPr bwMode="auto">
          <a:xfrm>
            <a:off x="380319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5" name="Oval 62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Arrowheads="1"/>
          </xdr:cNvSpPr>
        </xdr:nvSpPr>
        <xdr:spPr bwMode="auto">
          <a:xfrm>
            <a:off x="4098471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6" name="Oval 63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4384221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7" name="Oval 64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Arrowheads="1"/>
          </xdr:cNvSpPr>
        </xdr:nvSpPr>
        <xdr:spPr bwMode="auto">
          <a:xfrm>
            <a:off x="467949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8" name="Oval 65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Arrowheads="1"/>
          </xdr:cNvSpPr>
        </xdr:nvSpPr>
        <xdr:spPr bwMode="auto">
          <a:xfrm>
            <a:off x="496524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9" name="Oval 66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5353050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34" name="Oval 54">
            <a:extLst>
              <a:ext uri="{FF2B5EF4-FFF2-40B4-BE49-F238E27FC236}">
                <a16:creationId xmlns:a16="http://schemas.microsoft.com/office/drawing/2014/main" id="{00000000-0008-0000-0000-0000EA000000}"/>
              </a:ext>
            </a:extLst>
          </xdr:cNvPr>
          <xdr:cNvSpPr>
            <a:spLocks noChangeArrowheads="1"/>
          </xdr:cNvSpPr>
        </xdr:nvSpPr>
        <xdr:spPr bwMode="auto">
          <a:xfrm>
            <a:off x="1710418" y="78200249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547007</xdr:colOff>
      <xdr:row>408</xdr:row>
      <xdr:rowOff>149677</xdr:rowOff>
    </xdr:from>
    <xdr:to>
      <xdr:col>7</xdr:col>
      <xdr:colOff>232682</xdr:colOff>
      <xdr:row>409</xdr:row>
      <xdr:rowOff>63953</xdr:rowOff>
    </xdr:to>
    <xdr:grpSp>
      <xdr:nvGrpSpPr>
        <xdr:cNvPr id="236" name="Grupo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GrpSpPr/>
      </xdr:nvGrpSpPr>
      <xdr:grpSpPr>
        <a:xfrm>
          <a:off x="604157" y="85360327"/>
          <a:ext cx="4886325" cy="123826"/>
          <a:chOff x="578304" y="78200249"/>
          <a:chExt cx="4869996" cy="104776"/>
        </a:xfrm>
      </xdr:grpSpPr>
      <xdr:sp macro="" textlink="">
        <xdr:nvSpPr>
          <xdr:cNvPr id="237" name="Oval 51">
            <a:extLst>
              <a:ext uri="{FF2B5EF4-FFF2-40B4-BE49-F238E27FC236}">
                <a16:creationId xmlns:a16="http://schemas.microsoft.com/office/drawing/2014/main" id="{00000000-0008-0000-0000-0000ED000000}"/>
              </a:ext>
            </a:extLst>
          </xdr:cNvPr>
          <xdr:cNvSpPr>
            <a:spLocks noChangeArrowheads="1"/>
          </xdr:cNvSpPr>
        </xdr:nvSpPr>
        <xdr:spPr bwMode="auto">
          <a:xfrm rot="10517543">
            <a:off x="578304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38" name="Oval 52">
            <a:extLst>
              <a:ext uri="{FF2B5EF4-FFF2-40B4-BE49-F238E27FC236}">
                <a16:creationId xmlns:a16="http://schemas.microsoft.com/office/drawing/2014/main" id="{00000000-0008-0000-0000-0000EE000000}"/>
              </a:ext>
            </a:extLst>
          </xdr:cNvPr>
          <xdr:cNvSpPr>
            <a:spLocks noChangeArrowheads="1"/>
          </xdr:cNvSpPr>
        </xdr:nvSpPr>
        <xdr:spPr bwMode="auto">
          <a:xfrm>
            <a:off x="928007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39" name="Oval 53">
            <a:extLst>
              <a:ext uri="{FF2B5EF4-FFF2-40B4-BE49-F238E27FC236}">
                <a16:creationId xmlns:a16="http://schemas.microsoft.com/office/drawing/2014/main" id="{00000000-0008-0000-0000-0000EF000000}"/>
              </a:ext>
            </a:extLst>
          </xdr:cNvPr>
          <xdr:cNvSpPr>
            <a:spLocks noChangeArrowheads="1"/>
          </xdr:cNvSpPr>
        </xdr:nvSpPr>
        <xdr:spPr bwMode="auto">
          <a:xfrm>
            <a:off x="1204232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0" name="Oval 54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SpPr>
            <a:spLocks noChangeArrowheads="1"/>
          </xdr:cNvSpPr>
        </xdr:nvSpPr>
        <xdr:spPr bwMode="auto">
          <a:xfrm>
            <a:off x="1470932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1" name="Oval 55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SpPr>
            <a:spLocks noChangeArrowheads="1"/>
          </xdr:cNvSpPr>
        </xdr:nvSpPr>
        <xdr:spPr bwMode="auto">
          <a:xfrm>
            <a:off x="1945821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2" name="Oval 56">
            <a:extLst>
              <a:ext uri="{FF2B5EF4-FFF2-40B4-BE49-F238E27FC236}">
                <a16:creationId xmlns:a16="http://schemas.microsoft.com/office/drawing/2014/main" id="{00000000-0008-0000-0000-0000F2000000}"/>
              </a:ext>
            </a:extLst>
          </xdr:cNvPr>
          <xdr:cNvSpPr>
            <a:spLocks noChangeArrowheads="1"/>
          </xdr:cNvSpPr>
        </xdr:nvSpPr>
        <xdr:spPr bwMode="auto">
          <a:xfrm>
            <a:off x="220299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3" name="Oval 57">
            <a:extLst>
              <a:ext uri="{FF2B5EF4-FFF2-40B4-BE49-F238E27FC236}">
                <a16:creationId xmlns:a16="http://schemas.microsoft.com/office/drawing/2014/main" id="{00000000-0008-0000-0000-0000F3000000}"/>
              </a:ext>
            </a:extLst>
          </xdr:cNvPr>
          <xdr:cNvSpPr>
            <a:spLocks noChangeArrowheads="1"/>
          </xdr:cNvSpPr>
        </xdr:nvSpPr>
        <xdr:spPr bwMode="auto">
          <a:xfrm>
            <a:off x="246969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4" name="Oval 58">
            <a:extLst>
              <a:ext uri="{FF2B5EF4-FFF2-40B4-BE49-F238E27FC236}">
                <a16:creationId xmlns:a16="http://schemas.microsoft.com/office/drawing/2014/main" id="{00000000-0008-0000-0000-0000F4000000}"/>
              </a:ext>
            </a:extLst>
          </xdr:cNvPr>
          <xdr:cNvSpPr>
            <a:spLocks noChangeArrowheads="1"/>
          </xdr:cNvSpPr>
        </xdr:nvSpPr>
        <xdr:spPr bwMode="auto">
          <a:xfrm>
            <a:off x="2801711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5" name="Oval 59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SpPr>
            <a:spLocks noChangeArrowheads="1"/>
          </xdr:cNvSpPr>
        </xdr:nvSpPr>
        <xdr:spPr bwMode="auto">
          <a:xfrm>
            <a:off x="3087461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6" name="Oval 60">
            <a:extLst>
              <a:ext uri="{FF2B5EF4-FFF2-40B4-BE49-F238E27FC236}">
                <a16:creationId xmlns:a16="http://schemas.microsoft.com/office/drawing/2014/main" id="{00000000-0008-0000-0000-0000F6000000}"/>
              </a:ext>
            </a:extLst>
          </xdr:cNvPr>
          <xdr:cNvSpPr>
            <a:spLocks noChangeArrowheads="1"/>
          </xdr:cNvSpPr>
        </xdr:nvSpPr>
        <xdr:spPr bwMode="auto">
          <a:xfrm>
            <a:off x="338273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7" name="Oval 61">
            <a:extLst>
              <a:ext uri="{FF2B5EF4-FFF2-40B4-BE49-F238E27FC236}">
                <a16:creationId xmlns:a16="http://schemas.microsoft.com/office/drawing/2014/main" id="{00000000-0008-0000-0000-0000F7000000}"/>
              </a:ext>
            </a:extLst>
          </xdr:cNvPr>
          <xdr:cNvSpPr>
            <a:spLocks noChangeArrowheads="1"/>
          </xdr:cNvSpPr>
        </xdr:nvSpPr>
        <xdr:spPr bwMode="auto">
          <a:xfrm>
            <a:off x="380319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8" name="Oval 62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SpPr>
            <a:spLocks noChangeArrowheads="1"/>
          </xdr:cNvSpPr>
        </xdr:nvSpPr>
        <xdr:spPr bwMode="auto">
          <a:xfrm>
            <a:off x="4098471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9" name="Oval 63">
            <a:extLst>
              <a:ext uri="{FF2B5EF4-FFF2-40B4-BE49-F238E27FC236}">
                <a16:creationId xmlns:a16="http://schemas.microsoft.com/office/drawing/2014/main" id="{00000000-0008-0000-0000-0000F9000000}"/>
              </a:ext>
            </a:extLst>
          </xdr:cNvPr>
          <xdr:cNvSpPr>
            <a:spLocks noChangeArrowheads="1"/>
          </xdr:cNvSpPr>
        </xdr:nvSpPr>
        <xdr:spPr bwMode="auto">
          <a:xfrm>
            <a:off x="4384221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50" name="Oval 64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SpPr>
            <a:spLocks noChangeArrowheads="1"/>
          </xdr:cNvSpPr>
        </xdr:nvSpPr>
        <xdr:spPr bwMode="auto">
          <a:xfrm>
            <a:off x="467949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51" name="Oval 65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SpPr>
            <a:spLocks noChangeArrowheads="1"/>
          </xdr:cNvSpPr>
        </xdr:nvSpPr>
        <xdr:spPr bwMode="auto">
          <a:xfrm>
            <a:off x="4965246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52" name="Oval 66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SpPr>
            <a:spLocks noChangeArrowheads="1"/>
          </xdr:cNvSpPr>
        </xdr:nvSpPr>
        <xdr:spPr bwMode="auto">
          <a:xfrm>
            <a:off x="5353050" y="78200250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53" name="Oval 54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SpPr>
            <a:spLocks noChangeArrowheads="1"/>
          </xdr:cNvSpPr>
        </xdr:nvSpPr>
        <xdr:spPr bwMode="auto">
          <a:xfrm>
            <a:off x="1710418" y="78200249"/>
            <a:ext cx="95250" cy="104775"/>
          </a:xfrm>
          <a:prstGeom prst="ellipse">
            <a:avLst/>
          </a:prstGeom>
          <a:solidFill>
            <a:schemeClr val="tx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426268</xdr:colOff>
      <xdr:row>408</xdr:row>
      <xdr:rowOff>67902</xdr:rowOff>
    </xdr:from>
    <xdr:to>
      <xdr:col>5</xdr:col>
      <xdr:colOff>718090</xdr:colOff>
      <xdr:row>409</xdr:row>
      <xdr:rowOff>139262</xdr:rowOff>
    </xdr:to>
    <xdr:sp macro="" textlink="">
      <xdr:nvSpPr>
        <xdr:cNvPr id="254" name="Elips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 rot="279568">
          <a:off x="4038964" y="77649027"/>
          <a:ext cx="291822" cy="2618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802821</xdr:colOff>
      <xdr:row>410</xdr:row>
      <xdr:rowOff>163284</xdr:rowOff>
    </xdr:from>
    <xdr:to>
      <xdr:col>4</xdr:col>
      <xdr:colOff>257803</xdr:colOff>
      <xdr:row>412</xdr:row>
      <xdr:rowOff>44144</xdr:rowOff>
    </xdr:to>
    <xdr:sp macro="" textlink="">
      <xdr:nvSpPr>
        <xdr:cNvPr id="255" name="Elips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 rot="20927758">
          <a:off x="2701017" y="78125409"/>
          <a:ext cx="291822" cy="2618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12</xdr:col>
      <xdr:colOff>556192</xdr:colOff>
      <xdr:row>1</xdr:row>
      <xdr:rowOff>159883</xdr:rowOff>
    </xdr:from>
    <xdr:to>
      <xdr:col>14</xdr:col>
      <xdr:colOff>267381</xdr:colOff>
      <xdr:row>8</xdr:row>
      <xdr:rowOff>88106</xdr:rowOff>
    </xdr:to>
    <xdr:pic>
      <xdr:nvPicPr>
        <xdr:cNvPr id="256" name="Imagen 255" descr="https://reader021.dokumen.tips/reader021/slide/20170731/55cf9983550346d0339dc37c/document-2.pn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07" t="28976" r="67962" b="18392"/>
        <a:stretch/>
      </xdr:blipFill>
      <xdr:spPr bwMode="auto">
        <a:xfrm>
          <a:off x="8205958" y="362289"/>
          <a:ext cx="1311389" cy="1346258"/>
        </a:xfrm>
        <a:prstGeom prst="rect">
          <a:avLst/>
        </a:prstGeom>
        <a:ln w="19050" cap="sq">
          <a:solidFill>
            <a:srgbClr val="C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148828</xdr:colOff>
      <xdr:row>11</xdr:row>
      <xdr:rowOff>113109</xdr:rowOff>
    </xdr:from>
    <xdr:to>
      <xdr:col>14</xdr:col>
      <xdr:colOff>148828</xdr:colOff>
      <xdr:row>14</xdr:row>
      <xdr:rowOff>3375</xdr:rowOff>
    </xdr:to>
    <xdr:cxnSp macro="">
      <xdr:nvCxnSpPr>
        <xdr:cNvPr id="280" name="Conector recto de flecha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CxnSpPr/>
      </xdr:nvCxnSpPr>
      <xdr:spPr>
        <a:xfrm>
          <a:off x="9286875" y="2190750"/>
          <a:ext cx="0" cy="4320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5953</xdr:colOff>
      <xdr:row>28</xdr:row>
      <xdr:rowOff>47626</xdr:rowOff>
    </xdr:from>
    <xdr:to>
      <xdr:col>16</xdr:col>
      <xdr:colOff>729278</xdr:colOff>
      <xdr:row>30</xdr:row>
      <xdr:rowOff>21432</xdr:rowOff>
    </xdr:to>
    <xdr:pic>
      <xdr:nvPicPr>
        <xdr:cNvPr id="304" name="Imagen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906000" y="5334001"/>
          <a:ext cx="1494850" cy="392906"/>
        </a:xfrm>
        <a:prstGeom prst="rect">
          <a:avLst/>
        </a:prstGeom>
      </xdr:spPr>
    </xdr:pic>
    <xdr:clientData/>
  </xdr:twoCellAnchor>
  <xdr:twoCellAnchor editAs="oneCell">
    <xdr:from>
      <xdr:col>15</xdr:col>
      <xdr:colOff>53578</xdr:colOff>
      <xdr:row>30</xdr:row>
      <xdr:rowOff>136226</xdr:rowOff>
    </xdr:from>
    <xdr:to>
      <xdr:col>16</xdr:col>
      <xdr:colOff>639365</xdr:colOff>
      <xdr:row>35</xdr:row>
      <xdr:rowOff>81549</xdr:rowOff>
    </xdr:to>
    <xdr:pic>
      <xdr:nvPicPr>
        <xdr:cNvPr id="305" name="Imagen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53625" y="5803601"/>
          <a:ext cx="1357312" cy="993073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190501</xdr:colOff>
      <xdr:row>36</xdr:row>
      <xdr:rowOff>5953</xdr:rowOff>
    </xdr:from>
    <xdr:to>
      <xdr:col>16</xdr:col>
      <xdr:colOff>651272</xdr:colOff>
      <xdr:row>37</xdr:row>
      <xdr:rowOff>183335</xdr:rowOff>
    </xdr:to>
    <xdr:pic>
      <xdr:nvPicPr>
        <xdr:cNvPr id="306" name="Imagen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090548" y="6816328"/>
          <a:ext cx="1232296" cy="386932"/>
        </a:xfrm>
        <a:prstGeom prst="rect">
          <a:avLst/>
        </a:prstGeom>
      </xdr:spPr>
    </xdr:pic>
    <xdr:clientData/>
  </xdr:twoCellAnchor>
  <xdr:twoCellAnchor>
    <xdr:from>
      <xdr:col>11</xdr:col>
      <xdr:colOff>101204</xdr:colOff>
      <xdr:row>38</xdr:row>
      <xdr:rowOff>55168</xdr:rowOff>
    </xdr:from>
    <xdr:to>
      <xdr:col>16</xdr:col>
      <xdr:colOff>125016</xdr:colOff>
      <xdr:row>42</xdr:row>
      <xdr:rowOff>114015</xdr:rowOff>
    </xdr:to>
    <xdr:grpSp>
      <xdr:nvGrpSpPr>
        <xdr:cNvPr id="309" name="Grupo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GrpSpPr/>
      </xdr:nvGrpSpPr>
      <xdr:grpSpPr>
        <a:xfrm>
          <a:off x="6902054" y="7941868"/>
          <a:ext cx="4090987" cy="916097"/>
          <a:chOff x="6881813" y="7246543"/>
          <a:chExt cx="3905250" cy="844660"/>
        </a:xfrm>
      </xdr:grpSpPr>
      <xdr:pic>
        <xdr:nvPicPr>
          <xdr:cNvPr id="307" name="Imagen 306">
            <a:extLst>
              <a:ext uri="{FF2B5EF4-FFF2-40B4-BE49-F238E27FC236}">
                <a16:creationId xmlns:a16="http://schemas.microsoft.com/office/drawing/2014/main" id="{00000000-0008-0000-0000-00003301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6881813" y="7246543"/>
            <a:ext cx="3905250" cy="844660"/>
          </a:xfrm>
          <a:prstGeom prst="rect">
            <a:avLst/>
          </a:prstGeom>
        </xdr:spPr>
      </xdr:pic>
      <xdr:sp macro="" textlink="">
        <xdr:nvSpPr>
          <xdr:cNvPr id="308" name="Rectángulo 307">
            <a:extLst>
              <a:ext uri="{FF2B5EF4-FFF2-40B4-BE49-F238E27FC236}">
                <a16:creationId xmlns:a16="http://schemas.microsoft.com/office/drawing/2014/main" id="{00000000-0008-0000-0000-000034010000}"/>
              </a:ext>
            </a:extLst>
          </xdr:cNvPr>
          <xdr:cNvSpPr/>
        </xdr:nvSpPr>
        <xdr:spPr>
          <a:xfrm>
            <a:off x="7828359" y="7780734"/>
            <a:ext cx="1535907" cy="119063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13</xdr:col>
      <xdr:colOff>452438</xdr:colOff>
      <xdr:row>14</xdr:row>
      <xdr:rowOff>0</xdr:rowOff>
    </xdr:from>
    <xdr:to>
      <xdr:col>13</xdr:col>
      <xdr:colOff>452438</xdr:colOff>
      <xdr:row>23</xdr:row>
      <xdr:rowOff>121500</xdr:rowOff>
    </xdr:to>
    <xdr:cxnSp macro="">
      <xdr:nvCxnSpPr>
        <xdr:cNvPr id="311" name="Conector recto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CxnSpPr/>
      </xdr:nvCxnSpPr>
      <xdr:spPr>
        <a:xfrm>
          <a:off x="8828485" y="2619375"/>
          <a:ext cx="0" cy="1836000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65485</xdr:colOff>
      <xdr:row>23</xdr:row>
      <xdr:rowOff>101202</xdr:rowOff>
    </xdr:from>
    <xdr:to>
      <xdr:col>14</xdr:col>
      <xdr:colOff>89297</xdr:colOff>
      <xdr:row>23</xdr:row>
      <xdr:rowOff>101202</xdr:rowOff>
    </xdr:to>
    <xdr:cxnSp macro="">
      <xdr:nvCxnSpPr>
        <xdr:cNvPr id="313" name="Conector recto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CxnSpPr/>
      </xdr:nvCxnSpPr>
      <xdr:spPr>
        <a:xfrm>
          <a:off x="7715251" y="4435077"/>
          <a:ext cx="1512093" cy="0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720327</xdr:colOff>
      <xdr:row>14</xdr:row>
      <xdr:rowOff>5953</xdr:rowOff>
    </xdr:from>
    <xdr:to>
      <xdr:col>13</xdr:col>
      <xdr:colOff>23812</xdr:colOff>
      <xdr:row>23</xdr:row>
      <xdr:rowOff>95999</xdr:rowOff>
    </xdr:to>
    <xdr:cxnSp macro="">
      <xdr:nvCxnSpPr>
        <xdr:cNvPr id="315" name="Conector recto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CxnSpPr/>
      </xdr:nvCxnSpPr>
      <xdr:spPr>
        <a:xfrm flipH="1">
          <a:off x="8370093" y="2625328"/>
          <a:ext cx="29766" cy="1804546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29763</xdr:colOff>
      <xdr:row>23</xdr:row>
      <xdr:rowOff>23813</xdr:rowOff>
    </xdr:from>
    <xdr:to>
      <xdr:col>12</xdr:col>
      <xdr:colOff>677763</xdr:colOff>
      <xdr:row>23</xdr:row>
      <xdr:rowOff>23813</xdr:rowOff>
    </xdr:to>
    <xdr:cxnSp macro="">
      <xdr:nvCxnSpPr>
        <xdr:cNvPr id="318" name="Conector recto de flecha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CxnSpPr/>
      </xdr:nvCxnSpPr>
      <xdr:spPr>
        <a:xfrm>
          <a:off x="7679529" y="4357688"/>
          <a:ext cx="648000" cy="0"/>
        </a:xfrm>
        <a:prstGeom prst="straightConnector1">
          <a:avLst/>
        </a:prstGeom>
        <a:noFill/>
        <a:ln w="6350" cap="flat" cmpd="sng" algn="ctr">
          <a:solidFill>
            <a:srgbClr val="FF0000"/>
          </a:solidFill>
          <a:prstDash val="solid"/>
          <a:miter lim="800000"/>
          <a:headEnd type="triangle"/>
          <a:tailEnd type="triangle"/>
        </a:ln>
        <a:effectLst/>
      </xdr:spPr>
    </xdr:cxnSp>
    <xdr:clientData/>
  </xdr:twoCellAnchor>
  <xdr:twoCellAnchor>
    <xdr:from>
      <xdr:col>11</xdr:col>
      <xdr:colOff>398860</xdr:colOff>
      <xdr:row>20</xdr:row>
      <xdr:rowOff>190499</xdr:rowOff>
    </xdr:from>
    <xdr:to>
      <xdr:col>12</xdr:col>
      <xdr:colOff>119062</xdr:colOff>
      <xdr:row>21</xdr:row>
      <xdr:rowOff>148828</xdr:rowOff>
    </xdr:to>
    <xdr:grpSp>
      <xdr:nvGrpSpPr>
        <xdr:cNvPr id="325" name="Grupo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GrpSpPr/>
      </xdr:nvGrpSpPr>
      <xdr:grpSpPr>
        <a:xfrm>
          <a:off x="7199710" y="4305299"/>
          <a:ext cx="586977" cy="167879"/>
          <a:chOff x="7185422" y="4036218"/>
          <a:chExt cx="589359" cy="148829"/>
        </a:xfrm>
      </xdr:grpSpPr>
      <xdr:sp macro="" textlink="">
        <xdr:nvSpPr>
          <xdr:cNvPr id="319" name="Rectángulo 318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SpPr/>
        </xdr:nvSpPr>
        <xdr:spPr>
          <a:xfrm>
            <a:off x="7185422" y="4042172"/>
            <a:ext cx="589359" cy="142875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cxnSp macro="">
        <xdr:nvCxnSpPr>
          <xdr:cNvPr id="321" name="Conector recto de flecha 320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CxnSpPr/>
        </xdr:nvCxnSpPr>
        <xdr:spPr>
          <a:xfrm flipH="1">
            <a:off x="7262814" y="4036219"/>
            <a:ext cx="0" cy="1440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Conector recto de flecha 321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CxnSpPr/>
        </xdr:nvCxnSpPr>
        <xdr:spPr>
          <a:xfrm flipH="1">
            <a:off x="7405688" y="4036218"/>
            <a:ext cx="0" cy="1440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Conector recto de flecha 322">
            <a:extLst>
              <a:ext uri="{FF2B5EF4-FFF2-40B4-BE49-F238E27FC236}">
                <a16:creationId xmlns:a16="http://schemas.microsoft.com/office/drawing/2014/main" id="{00000000-0008-0000-0000-000043010000}"/>
              </a:ext>
            </a:extLst>
          </xdr:cNvPr>
          <xdr:cNvCxnSpPr/>
        </xdr:nvCxnSpPr>
        <xdr:spPr>
          <a:xfrm flipH="1">
            <a:off x="7685484" y="4036219"/>
            <a:ext cx="0" cy="1440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Conector recto de flecha 323">
            <a:extLst>
              <a:ext uri="{FF2B5EF4-FFF2-40B4-BE49-F238E27FC236}">
                <a16:creationId xmlns:a16="http://schemas.microsoft.com/office/drawing/2014/main" id="{00000000-0008-0000-0000-000044010000}"/>
              </a:ext>
            </a:extLst>
          </xdr:cNvPr>
          <xdr:cNvCxnSpPr/>
        </xdr:nvCxnSpPr>
        <xdr:spPr>
          <a:xfrm flipH="1">
            <a:off x="7566421" y="4036218"/>
            <a:ext cx="0" cy="1440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392907</xdr:colOff>
      <xdr:row>19</xdr:row>
      <xdr:rowOff>125016</xdr:rowOff>
    </xdr:from>
    <xdr:to>
      <xdr:col>12</xdr:col>
      <xdr:colOff>184546</xdr:colOff>
      <xdr:row>20</xdr:row>
      <xdr:rowOff>136922</xdr:rowOff>
    </xdr:to>
    <xdr:sp macro="" textlink="">
      <xdr:nvSpPr>
        <xdr:cNvPr id="330" name="CuadroTexto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7173516" y="3696891"/>
          <a:ext cx="660796" cy="202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800"/>
            <a:t>EV1      EV2</a:t>
          </a:r>
        </a:p>
      </xdr:txBody>
    </xdr:sp>
    <xdr:clientData/>
  </xdr:twoCellAnchor>
  <xdr:twoCellAnchor>
    <xdr:from>
      <xdr:col>14</xdr:col>
      <xdr:colOff>208359</xdr:colOff>
      <xdr:row>20</xdr:row>
      <xdr:rowOff>41672</xdr:rowOff>
    </xdr:from>
    <xdr:to>
      <xdr:col>14</xdr:col>
      <xdr:colOff>595312</xdr:colOff>
      <xdr:row>21</xdr:row>
      <xdr:rowOff>53578</xdr:rowOff>
    </xdr:to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9346406" y="3804047"/>
          <a:ext cx="386953" cy="202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800"/>
            <a:t>EV3</a:t>
          </a:r>
        </a:p>
      </xdr:txBody>
    </xdr:sp>
    <xdr:clientData/>
  </xdr:twoCellAnchor>
  <xdr:twoCellAnchor>
    <xdr:from>
      <xdr:col>14</xdr:col>
      <xdr:colOff>136922</xdr:colOff>
      <xdr:row>19</xdr:row>
      <xdr:rowOff>89297</xdr:rowOff>
    </xdr:from>
    <xdr:to>
      <xdr:col>14</xdr:col>
      <xdr:colOff>726281</xdr:colOff>
      <xdr:row>20</xdr:row>
      <xdr:rowOff>47626</xdr:rowOff>
    </xdr:to>
    <xdr:grpSp>
      <xdr:nvGrpSpPr>
        <xdr:cNvPr id="334" name="Grupo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GrpSpPr/>
      </xdr:nvGrpSpPr>
      <xdr:grpSpPr>
        <a:xfrm>
          <a:off x="9404747" y="3994547"/>
          <a:ext cx="589359" cy="167879"/>
          <a:chOff x="7185422" y="4036218"/>
          <a:chExt cx="589359" cy="148829"/>
        </a:xfrm>
      </xdr:grpSpPr>
      <xdr:sp macro="" textlink="">
        <xdr:nvSpPr>
          <xdr:cNvPr id="335" name="Rectángulo 334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SpPr/>
        </xdr:nvSpPr>
        <xdr:spPr>
          <a:xfrm>
            <a:off x="7185422" y="4042172"/>
            <a:ext cx="589359" cy="142875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cxnSp macro="">
        <xdr:nvCxnSpPr>
          <xdr:cNvPr id="336" name="Conector recto de flecha 335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CxnSpPr/>
        </xdr:nvCxnSpPr>
        <xdr:spPr>
          <a:xfrm flipH="1">
            <a:off x="7262814" y="4036219"/>
            <a:ext cx="0" cy="1440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Conector recto de flecha 336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CxnSpPr/>
        </xdr:nvCxnSpPr>
        <xdr:spPr>
          <a:xfrm flipH="1">
            <a:off x="7405688" y="4036218"/>
            <a:ext cx="0" cy="1440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Conector recto de flecha 337">
            <a:extLst>
              <a:ext uri="{FF2B5EF4-FFF2-40B4-BE49-F238E27FC236}">
                <a16:creationId xmlns:a16="http://schemas.microsoft.com/office/drawing/2014/main" id="{00000000-0008-0000-0000-000052010000}"/>
              </a:ext>
            </a:extLst>
          </xdr:cNvPr>
          <xdr:cNvCxnSpPr/>
        </xdr:nvCxnSpPr>
        <xdr:spPr>
          <a:xfrm flipH="1">
            <a:off x="7685484" y="4036219"/>
            <a:ext cx="0" cy="1440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Conector recto de flecha 338">
            <a:extLst>
              <a:ext uri="{FF2B5EF4-FFF2-40B4-BE49-F238E27FC236}">
                <a16:creationId xmlns:a16="http://schemas.microsoft.com/office/drawing/2014/main" id="{00000000-0008-0000-0000-000053010000}"/>
              </a:ext>
            </a:extLst>
          </xdr:cNvPr>
          <xdr:cNvCxnSpPr/>
        </xdr:nvCxnSpPr>
        <xdr:spPr>
          <a:xfrm flipH="1">
            <a:off x="7566421" y="4036218"/>
            <a:ext cx="0" cy="1440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47625</xdr:colOff>
      <xdr:row>11</xdr:row>
      <xdr:rowOff>35720</xdr:rowOff>
    </xdr:from>
    <xdr:to>
      <xdr:col>15</xdr:col>
      <xdr:colOff>11905</xdr:colOff>
      <xdr:row>26</xdr:row>
      <xdr:rowOff>11906</xdr:rowOff>
    </xdr:to>
    <xdr:grpSp>
      <xdr:nvGrpSpPr>
        <xdr:cNvPr id="341" name="Grupo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GrpSpPr/>
      </xdr:nvGrpSpPr>
      <xdr:grpSpPr>
        <a:xfrm>
          <a:off x="6848475" y="2312195"/>
          <a:ext cx="3259930" cy="3071811"/>
          <a:chOff x="6828234" y="2113361"/>
          <a:chExt cx="3149202" cy="2803920"/>
        </a:xfrm>
      </xdr:grpSpPr>
      <xdr:grpSp>
        <xdr:nvGrpSpPr>
          <xdr:cNvPr id="328" name="Grupo 327">
            <a:extLst>
              <a:ext uri="{FF2B5EF4-FFF2-40B4-BE49-F238E27FC236}">
                <a16:creationId xmlns:a16="http://schemas.microsoft.com/office/drawing/2014/main" id="{00000000-0008-0000-0000-000048010000}"/>
              </a:ext>
            </a:extLst>
          </xdr:cNvPr>
          <xdr:cNvGrpSpPr/>
        </xdr:nvGrpSpPr>
        <xdr:grpSpPr>
          <a:xfrm>
            <a:off x="6828234" y="2113361"/>
            <a:ext cx="3149202" cy="2803920"/>
            <a:chOff x="6828234" y="2113361"/>
            <a:chExt cx="3149202" cy="2803920"/>
          </a:xfrm>
        </xdr:grpSpPr>
        <xdr:grpSp>
          <xdr:nvGrpSpPr>
            <xdr:cNvPr id="279" name="Grupo 278">
              <a:extLst>
                <a:ext uri="{FF2B5EF4-FFF2-40B4-BE49-F238E27FC236}">
                  <a16:creationId xmlns:a16="http://schemas.microsoft.com/office/drawing/2014/main" id="{00000000-0008-0000-0000-000017010000}"/>
                </a:ext>
              </a:extLst>
            </xdr:cNvPr>
            <xdr:cNvGrpSpPr/>
          </xdr:nvGrpSpPr>
          <xdr:grpSpPr>
            <a:xfrm>
              <a:off x="7018733" y="2113361"/>
              <a:ext cx="2958703" cy="2803920"/>
              <a:chOff x="6971109" y="2303861"/>
              <a:chExt cx="2940844" cy="2803920"/>
            </a:xfrm>
          </xdr:grpSpPr>
          <xdr:grpSp>
            <xdr:nvGrpSpPr>
              <xdr:cNvPr id="277" name="Grupo 276">
                <a:extLst>
                  <a:ext uri="{FF2B5EF4-FFF2-40B4-BE49-F238E27FC236}">
                    <a16:creationId xmlns:a16="http://schemas.microsoft.com/office/drawing/2014/main" id="{00000000-0008-0000-0000-000015010000}"/>
                  </a:ext>
                </a:extLst>
              </xdr:cNvPr>
              <xdr:cNvGrpSpPr/>
            </xdr:nvGrpSpPr>
            <xdr:grpSpPr>
              <a:xfrm>
                <a:off x="6971109" y="2303861"/>
                <a:ext cx="2940844" cy="2803920"/>
                <a:chOff x="6971109" y="2303861"/>
                <a:chExt cx="2940844" cy="2803920"/>
              </a:xfrm>
            </xdr:grpSpPr>
            <xdr:grpSp>
              <xdr:nvGrpSpPr>
                <xdr:cNvPr id="275" name="Grupo 274">
                  <a:extLst>
                    <a:ext uri="{FF2B5EF4-FFF2-40B4-BE49-F238E27FC236}">
                      <a16:creationId xmlns:a16="http://schemas.microsoft.com/office/drawing/2014/main" id="{00000000-0008-0000-0000-000013010000}"/>
                    </a:ext>
                  </a:extLst>
                </xdr:cNvPr>
                <xdr:cNvGrpSpPr/>
              </xdr:nvGrpSpPr>
              <xdr:grpSpPr>
                <a:xfrm>
                  <a:off x="6971109" y="2303861"/>
                  <a:ext cx="2940844" cy="2803920"/>
                  <a:chOff x="6971109" y="2303861"/>
                  <a:chExt cx="2940844" cy="2803920"/>
                </a:xfrm>
              </xdr:grpSpPr>
              <xdr:grpSp>
                <xdr:nvGrpSpPr>
                  <xdr:cNvPr id="273" name="Grupo 272">
                    <a:extLst>
                      <a:ext uri="{FF2B5EF4-FFF2-40B4-BE49-F238E27FC236}">
                        <a16:creationId xmlns:a16="http://schemas.microsoft.com/office/drawing/2014/main" id="{00000000-0008-0000-0000-000011010000}"/>
                      </a:ext>
                    </a:extLst>
                  </xdr:cNvPr>
                  <xdr:cNvGrpSpPr/>
                </xdr:nvGrpSpPr>
                <xdr:grpSpPr>
                  <a:xfrm>
                    <a:off x="6971109" y="2303861"/>
                    <a:ext cx="2940844" cy="2714625"/>
                    <a:chOff x="6959203" y="2315767"/>
                    <a:chExt cx="2940844" cy="2714625"/>
                  </a:xfrm>
                </xdr:grpSpPr>
                <xdr:grpSp>
                  <xdr:nvGrpSpPr>
                    <xdr:cNvPr id="271" name="Grupo 270">
                      <a:extLst>
                        <a:ext uri="{FF2B5EF4-FFF2-40B4-BE49-F238E27FC236}">
                          <a16:creationId xmlns:a16="http://schemas.microsoft.com/office/drawing/2014/main" id="{00000000-0008-0000-0000-00000F010000}"/>
                        </a:ext>
                      </a:extLst>
                    </xdr:cNvPr>
                    <xdr:cNvGrpSpPr/>
                  </xdr:nvGrpSpPr>
                  <xdr:grpSpPr>
                    <a:xfrm>
                      <a:off x="7113979" y="2315767"/>
                      <a:ext cx="2786068" cy="2714625"/>
                      <a:chOff x="7113979" y="2315767"/>
                      <a:chExt cx="2786068" cy="2714625"/>
                    </a:xfrm>
                  </xdr:grpSpPr>
                  <xdr:grpSp>
                    <xdr:nvGrpSpPr>
                      <xdr:cNvPr id="266" name="Grupo 265">
                        <a:extLst>
                          <a:ext uri="{FF2B5EF4-FFF2-40B4-BE49-F238E27FC236}">
                            <a16:creationId xmlns:a16="http://schemas.microsoft.com/office/drawing/2014/main" id="{00000000-0008-0000-0000-00000A01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7113979" y="2315767"/>
                        <a:ext cx="2619827" cy="2708671"/>
                        <a:chOff x="7113979" y="2315767"/>
                        <a:chExt cx="2619827" cy="2708671"/>
                      </a:xfrm>
                    </xdr:grpSpPr>
                    <xdr:grpSp>
                      <xdr:nvGrpSpPr>
                        <xdr:cNvPr id="262" name="Grupo 261">
                          <a:extLst>
                            <a:ext uri="{FF2B5EF4-FFF2-40B4-BE49-F238E27FC236}">
                              <a16:creationId xmlns:a16="http://schemas.microsoft.com/office/drawing/2014/main" id="{00000000-0008-0000-0000-00000601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7113979" y="2379847"/>
                          <a:ext cx="2619827" cy="2644591"/>
                          <a:chOff x="7375922" y="2639943"/>
                          <a:chExt cx="1869558" cy="1920151"/>
                        </a:xfrm>
                      </xdr:grpSpPr>
                      <xdr:grpSp>
                        <xdr:nvGrpSpPr>
                          <xdr:cNvPr id="40" name="Grupo 39">
                            <a:extLst>
                              <a:ext uri="{FF2B5EF4-FFF2-40B4-BE49-F238E27FC236}">
                                <a16:creationId xmlns:a16="http://schemas.microsoft.com/office/drawing/2014/main" id="{00000000-0008-0000-0000-000028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7732778" y="2639943"/>
                            <a:ext cx="1103157" cy="1634206"/>
                            <a:chOff x="5542942" y="2801052"/>
                            <a:chExt cx="2695588" cy="3362987"/>
                          </a:xfrm>
                        </xdr:grpSpPr>
                        <xdr:cxnSp macro="">
                          <xdr:nvCxnSpPr>
                            <xdr:cNvPr id="27" name="Conector recto 26">
                              <a:extLst>
                                <a:ext uri="{FF2B5EF4-FFF2-40B4-BE49-F238E27FC236}">
                                  <a16:creationId xmlns:a16="http://schemas.microsoft.com/office/drawing/2014/main" id="{00000000-0008-0000-0000-00001B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>
                              <a:off x="7548007" y="2814588"/>
                              <a:ext cx="690523" cy="0"/>
                            </a:xfrm>
                            <a:prstGeom prst="line">
                              <a:avLst/>
                            </a:prstGeom>
                          </xdr:spPr>
                          <xdr:style>
                            <a:lnRef idx="3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2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0" name="Conector recto 29">
                              <a:extLst>
                                <a:ext uri="{FF2B5EF4-FFF2-40B4-BE49-F238E27FC236}">
                                  <a16:creationId xmlns:a16="http://schemas.microsoft.com/office/drawing/2014/main" id="{00000000-0008-0000-0000-00001E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>
                              <a:off x="8234873" y="2830285"/>
                              <a:ext cx="0" cy="3333754"/>
                            </a:xfrm>
                            <a:prstGeom prst="line">
                              <a:avLst/>
                            </a:prstGeom>
                          </xdr:spPr>
                          <xdr:style>
                            <a:lnRef idx="3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2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2" name="Conector recto 31">
                              <a:extLst>
                                <a:ext uri="{FF2B5EF4-FFF2-40B4-BE49-F238E27FC236}">
                                  <a16:creationId xmlns:a16="http://schemas.microsoft.com/office/drawing/2014/main" id="{00000000-0008-0000-0000-000020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>
                              <a:off x="7525549" y="2801052"/>
                              <a:ext cx="0" cy="645474"/>
                            </a:xfrm>
                            <a:prstGeom prst="line">
                              <a:avLst/>
                            </a:prstGeom>
                          </xdr:spPr>
                          <xdr:style>
                            <a:lnRef idx="3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2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5" name="Conector recto 34">
                              <a:extLst>
                                <a:ext uri="{FF2B5EF4-FFF2-40B4-BE49-F238E27FC236}">
                                  <a16:creationId xmlns:a16="http://schemas.microsoft.com/office/drawing/2014/main" id="{00000000-0008-0000-0000-000023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H="1" flipV="1">
                              <a:off x="6756099" y="3441950"/>
                              <a:ext cx="753296" cy="0"/>
                            </a:xfrm>
                            <a:prstGeom prst="line">
                              <a:avLst/>
                            </a:prstGeom>
                          </xdr:spPr>
                          <xdr:style>
                            <a:lnRef idx="3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2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8" name="Conector recto 37">
                              <a:extLst>
                                <a:ext uri="{FF2B5EF4-FFF2-40B4-BE49-F238E27FC236}">
                                  <a16:creationId xmlns:a16="http://schemas.microsoft.com/office/drawing/2014/main" id="{00000000-0008-0000-0000-000026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H="1">
                              <a:off x="5542942" y="3443580"/>
                              <a:ext cx="1244458" cy="2704044"/>
                            </a:xfrm>
                            <a:prstGeom prst="line">
                              <a:avLst/>
                            </a:prstGeom>
                          </xdr:spPr>
                          <xdr:style>
                            <a:lnRef idx="3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2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cxnSp macro="">
                        <xdr:nvCxnSpPr>
                          <xdr:cNvPr id="43" name="Conector recto 42">
                            <a:extLst>
                              <a:ext uri="{FF2B5EF4-FFF2-40B4-BE49-F238E27FC236}">
                                <a16:creationId xmlns:a16="http://schemas.microsoft.com/office/drawing/2014/main" id="{00000000-0008-0000-0000-00002B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flipH="1">
                            <a:off x="7381874" y="4268391"/>
                            <a:ext cx="360000" cy="0"/>
                          </a:xfrm>
                          <a:prstGeom prst="line">
                            <a:avLst/>
                          </a:prstGeom>
                        </xdr:spPr>
                        <xdr:style>
                          <a:lnRef idx="3">
                            <a:schemeClr val="dk1"/>
                          </a:lnRef>
                          <a:fillRef idx="0">
                            <a:schemeClr val="dk1"/>
                          </a:fillRef>
                          <a:effectRef idx="2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227" name="Conector recto 226">
                            <a:extLst>
                              <a:ext uri="{FF2B5EF4-FFF2-40B4-BE49-F238E27FC236}">
                                <a16:creationId xmlns:a16="http://schemas.microsoft.com/office/drawing/2014/main" id="{00000000-0008-0000-0000-0000E3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7375922" y="4268391"/>
                            <a:ext cx="0" cy="288000"/>
                          </a:xfrm>
                          <a:prstGeom prst="line">
                            <a:avLst/>
                          </a:prstGeom>
                        </xdr:spPr>
                        <xdr:style>
                          <a:lnRef idx="3">
                            <a:schemeClr val="dk1"/>
                          </a:lnRef>
                          <a:fillRef idx="0">
                            <a:schemeClr val="dk1"/>
                          </a:fillRef>
                          <a:effectRef idx="2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257" name="Conector recto 256">
                            <a:extLst>
                              <a:ext uri="{FF2B5EF4-FFF2-40B4-BE49-F238E27FC236}">
                                <a16:creationId xmlns:a16="http://schemas.microsoft.com/office/drawing/2014/main" id="{00000000-0008-0000-0000-00000101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7381875" y="4560094"/>
                            <a:ext cx="1849700" cy="0"/>
                          </a:xfrm>
                          <a:prstGeom prst="line">
                            <a:avLst/>
                          </a:prstGeom>
                        </xdr:spPr>
                        <xdr:style>
                          <a:lnRef idx="3">
                            <a:schemeClr val="dk1"/>
                          </a:lnRef>
                          <a:fillRef idx="0">
                            <a:schemeClr val="dk1"/>
                          </a:fillRef>
                          <a:effectRef idx="2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259" name="Conector recto 258">
                            <a:extLst>
                              <a:ext uri="{FF2B5EF4-FFF2-40B4-BE49-F238E27FC236}">
                                <a16:creationId xmlns:a16="http://schemas.microsoft.com/office/drawing/2014/main" id="{00000000-0008-0000-0000-00000301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flipV="1">
                            <a:off x="8834436" y="4268391"/>
                            <a:ext cx="411044" cy="0"/>
                          </a:xfrm>
                          <a:prstGeom prst="line">
                            <a:avLst/>
                          </a:prstGeom>
                        </xdr:spPr>
                        <xdr:style>
                          <a:lnRef idx="3">
                            <a:schemeClr val="dk1"/>
                          </a:lnRef>
                          <a:fillRef idx="0">
                            <a:schemeClr val="dk1"/>
                          </a:fillRef>
                          <a:effectRef idx="2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261" name="Conector recto 260">
                            <a:extLst>
                              <a:ext uri="{FF2B5EF4-FFF2-40B4-BE49-F238E27FC236}">
                                <a16:creationId xmlns:a16="http://schemas.microsoft.com/office/drawing/2014/main" id="{00000000-0008-0000-0000-00000501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9234219" y="4266760"/>
                            <a:ext cx="0" cy="288000"/>
                          </a:xfrm>
                          <a:prstGeom prst="line">
                            <a:avLst/>
                          </a:prstGeom>
                        </xdr:spPr>
                        <xdr:style>
                          <a:lnRef idx="3">
                            <a:schemeClr val="dk1"/>
                          </a:lnRef>
                          <a:fillRef idx="0">
                            <a:schemeClr val="dk1"/>
                          </a:fillRef>
                          <a:effectRef idx="2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265" name="Conector recto de flecha 264">
                          <a:extLst>
                            <a:ext uri="{FF2B5EF4-FFF2-40B4-BE49-F238E27FC236}">
                              <a16:creationId xmlns:a16="http://schemas.microsoft.com/office/drawing/2014/main" id="{00000000-0008-0000-0000-000009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8751093" y="2315767"/>
                          <a:ext cx="396000" cy="0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headEnd type="triangle"/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267" name="Conector recto de flecha 266">
                        <a:extLst>
                          <a:ext uri="{FF2B5EF4-FFF2-40B4-BE49-F238E27FC236}">
                            <a16:creationId xmlns:a16="http://schemas.microsoft.com/office/drawing/2014/main" id="{00000000-0008-0000-0000-00000B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8310952" y="2625328"/>
                        <a:ext cx="396000" cy="0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headEnd type="triangle"/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70" name="Conector recto de flecha 269">
                        <a:extLst>
                          <a:ext uri="{FF2B5EF4-FFF2-40B4-BE49-F238E27FC236}">
                            <a16:creationId xmlns:a16="http://schemas.microsoft.com/office/drawing/2014/main" id="{00000000-0008-0000-0000-00000E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9900047" y="2363392"/>
                        <a:ext cx="0" cy="2667000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headEnd type="triangle"/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272" name="Conector recto de flecha 271">
                      <a:extLst>
                        <a:ext uri="{FF2B5EF4-FFF2-40B4-BE49-F238E27FC236}">
                          <a16:creationId xmlns:a16="http://schemas.microsoft.com/office/drawing/2014/main" id="{00000000-0008-0000-0000-000010010000}"/>
                        </a:ext>
                      </a:extLst>
                    </xdr:cNvPr>
                    <xdr:cNvCxnSpPr/>
                  </xdr:nvCxnSpPr>
                  <xdr:spPr>
                    <a:xfrm>
                      <a:off x="6959203" y="4619624"/>
                      <a:ext cx="0" cy="396000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274" name="Conector recto de flecha 273">
                    <a:extLst>
                      <a:ext uri="{FF2B5EF4-FFF2-40B4-BE49-F238E27FC236}">
                        <a16:creationId xmlns:a16="http://schemas.microsoft.com/office/drawing/2014/main" id="{00000000-0008-0000-0000-000012010000}"/>
                      </a:ext>
                    </a:extLst>
                  </xdr:cNvPr>
                  <xdr:cNvCxnSpPr/>
                </xdr:nvCxnSpPr>
                <xdr:spPr>
                  <a:xfrm>
                    <a:off x="7096125" y="5107781"/>
                    <a:ext cx="2736000" cy="0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headEnd type="triangle"/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276" name="Conector recto de flecha 275">
                  <a:extLst>
                    <a:ext uri="{FF2B5EF4-FFF2-40B4-BE49-F238E27FC236}">
                      <a16:creationId xmlns:a16="http://schemas.microsoft.com/office/drawing/2014/main" id="{00000000-0008-0000-0000-000014010000}"/>
                    </a:ext>
                  </a:extLst>
                </xdr:cNvPr>
                <xdr:cNvCxnSpPr/>
              </xdr:nvCxnSpPr>
              <xdr:spPr>
                <a:xfrm>
                  <a:off x="7113984" y="4536281"/>
                  <a:ext cx="504000" cy="0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278" name="Conector recto de flecha 277">
                <a:extLst>
                  <a:ext uri="{FF2B5EF4-FFF2-40B4-BE49-F238E27FC236}">
                    <a16:creationId xmlns:a16="http://schemas.microsoft.com/office/drawing/2014/main" id="{00000000-0008-0000-0000-000016010000}"/>
                  </a:ext>
                </a:extLst>
              </xdr:cNvPr>
              <xdr:cNvCxnSpPr/>
            </xdr:nvCxnSpPr>
            <xdr:spPr>
              <a:xfrm>
                <a:off x="9209484" y="4512469"/>
                <a:ext cx="504000" cy="0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327" name="Conector recto de flecha 326">
              <a:extLst>
                <a:ext uri="{FF2B5EF4-FFF2-40B4-BE49-F238E27FC236}">
                  <a16:creationId xmlns:a16="http://schemas.microsoft.com/office/drawing/2014/main" id="{00000000-0008-0000-0000-000047010000}"/>
                </a:ext>
              </a:extLst>
            </xdr:cNvPr>
            <xdr:cNvCxnSpPr/>
          </xdr:nvCxnSpPr>
          <xdr:spPr>
            <a:xfrm>
              <a:off x="6828234" y="4042171"/>
              <a:ext cx="0" cy="396000"/>
            </a:xfrm>
            <a:prstGeom prst="straightConnector1">
              <a:avLst/>
            </a:prstGeom>
            <a:ln>
              <a:solidFill>
                <a:srgbClr val="FF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40" name="Arco 339">
            <a:extLst>
              <a:ext uri="{FF2B5EF4-FFF2-40B4-BE49-F238E27FC236}">
                <a16:creationId xmlns:a16="http://schemas.microsoft.com/office/drawing/2014/main" id="{00000000-0008-0000-0000-000054010000}"/>
              </a:ext>
            </a:extLst>
          </xdr:cNvPr>
          <xdr:cNvSpPr/>
        </xdr:nvSpPr>
        <xdr:spPr>
          <a:xfrm rot="11219948">
            <a:off x="8298655" y="2883218"/>
            <a:ext cx="178594" cy="45719"/>
          </a:xfrm>
          <a:prstGeom prst="arc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12</xdr:col>
      <xdr:colOff>529826</xdr:colOff>
      <xdr:row>16</xdr:row>
      <xdr:rowOff>107158</xdr:rowOff>
    </xdr:from>
    <xdr:to>
      <xdr:col>12</xdr:col>
      <xdr:colOff>714373</xdr:colOff>
      <xdr:row>17</xdr:row>
      <xdr:rowOff>101205</xdr:rowOff>
    </xdr:to>
    <xdr:sp macro="" textlink="">
      <xdr:nvSpPr>
        <xdr:cNvPr id="342" name="CuadroTexto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 rot="733367">
          <a:off x="8179592" y="3107533"/>
          <a:ext cx="184547" cy="1845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 i="1"/>
            <a:t>s</a:t>
          </a:r>
        </a:p>
      </xdr:txBody>
    </xdr:sp>
    <xdr:clientData/>
  </xdr:twoCellAnchor>
  <xdr:twoCellAnchor>
    <xdr:from>
      <xdr:col>14</xdr:col>
      <xdr:colOff>101203</xdr:colOff>
      <xdr:row>11</xdr:row>
      <xdr:rowOff>101203</xdr:rowOff>
    </xdr:from>
    <xdr:to>
      <xdr:col>14</xdr:col>
      <xdr:colOff>785813</xdr:colOff>
      <xdr:row>11</xdr:row>
      <xdr:rowOff>101203</xdr:rowOff>
    </xdr:to>
    <xdr:cxnSp macro="">
      <xdr:nvCxnSpPr>
        <xdr:cNvPr id="344" name="Conector recto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CxnSpPr/>
      </xdr:nvCxnSpPr>
      <xdr:spPr>
        <a:xfrm flipV="1">
          <a:off x="9239250" y="2178844"/>
          <a:ext cx="684610" cy="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12</xdr:row>
      <xdr:rowOff>130968</xdr:rowOff>
    </xdr:from>
    <xdr:to>
      <xdr:col>14</xdr:col>
      <xdr:colOff>779860</xdr:colOff>
      <xdr:row>12</xdr:row>
      <xdr:rowOff>130968</xdr:rowOff>
    </xdr:to>
    <xdr:cxnSp macro="">
      <xdr:nvCxnSpPr>
        <xdr:cNvPr id="345" name="Conector recto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CxnSpPr/>
      </xdr:nvCxnSpPr>
      <xdr:spPr>
        <a:xfrm flipV="1">
          <a:off x="9233297" y="2399109"/>
          <a:ext cx="684610" cy="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354807</xdr:colOff>
      <xdr:row>11</xdr:row>
      <xdr:rowOff>41671</xdr:rowOff>
    </xdr:from>
    <xdr:to>
      <xdr:col>15</xdr:col>
      <xdr:colOff>741001</xdr:colOff>
      <xdr:row>25</xdr:row>
      <xdr:rowOff>130969</xdr:rowOff>
    </xdr:to>
    <xdr:grpSp>
      <xdr:nvGrpSpPr>
        <xdr:cNvPr id="364" name="Grupo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GrpSpPr/>
      </xdr:nvGrpSpPr>
      <xdr:grpSpPr>
        <a:xfrm>
          <a:off x="10451307" y="2318146"/>
          <a:ext cx="386194" cy="2975373"/>
          <a:chOff x="10320338" y="2119312"/>
          <a:chExt cx="386194" cy="2726532"/>
        </a:xfrm>
      </xdr:grpSpPr>
      <xdr:grpSp>
        <xdr:nvGrpSpPr>
          <xdr:cNvPr id="303" name="Grupo 302">
            <a:extLst>
              <a:ext uri="{FF2B5EF4-FFF2-40B4-BE49-F238E27FC236}">
                <a16:creationId xmlns:a16="http://schemas.microsoft.com/office/drawing/2014/main" id="{00000000-0008-0000-0000-00002F010000}"/>
              </a:ext>
            </a:extLst>
          </xdr:cNvPr>
          <xdr:cNvGrpSpPr/>
        </xdr:nvGrpSpPr>
        <xdr:grpSpPr>
          <a:xfrm>
            <a:off x="10334625" y="2119312"/>
            <a:ext cx="363141" cy="2726532"/>
            <a:chOff x="10269141" y="2119312"/>
            <a:chExt cx="363141" cy="2726532"/>
          </a:xfrm>
        </xdr:grpSpPr>
        <xdr:sp macro="" textlink="">
          <xdr:nvSpPr>
            <xdr:cNvPr id="281" name="Rectángulo 280">
              <a:extLst>
                <a:ext uri="{FF2B5EF4-FFF2-40B4-BE49-F238E27FC236}">
                  <a16:creationId xmlns:a16="http://schemas.microsoft.com/office/drawing/2014/main" id="{00000000-0008-0000-0000-000019010000}"/>
                </a:ext>
              </a:extLst>
            </xdr:cNvPr>
            <xdr:cNvSpPr/>
          </xdr:nvSpPr>
          <xdr:spPr>
            <a:xfrm>
              <a:off x="10275094" y="2119312"/>
              <a:ext cx="357188" cy="2726532"/>
            </a:xfrm>
            <a:prstGeom prst="rect">
              <a:avLst/>
            </a:prstGeom>
          </xdr:spPr>
          <xdr:style>
            <a:lnRef idx="2">
              <a:schemeClr val="accent5"/>
            </a:lnRef>
            <a:fillRef idx="1">
              <a:schemeClr val="lt1"/>
            </a:fillRef>
            <a:effectRef idx="0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cxnSp macro="">
          <xdr:nvCxnSpPr>
            <xdr:cNvPr id="283" name="Conector recto de flecha 282">
              <a:extLst>
                <a:ext uri="{FF2B5EF4-FFF2-40B4-BE49-F238E27FC236}">
                  <a16:creationId xmlns:a16="http://schemas.microsoft.com/office/drawing/2014/main" id="{00000000-0008-0000-0000-00001B010000}"/>
                </a:ext>
              </a:extLst>
            </xdr:cNvPr>
            <xdr:cNvCxnSpPr/>
          </xdr:nvCxnSpPr>
          <xdr:spPr>
            <a:xfrm flipH="1">
              <a:off x="10269141" y="2178844"/>
              <a:ext cx="360000" cy="41672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48" name="Conector recto de flecha 347">
            <a:extLst>
              <a:ext uri="{FF2B5EF4-FFF2-40B4-BE49-F238E27FC236}">
                <a16:creationId xmlns:a16="http://schemas.microsoft.com/office/drawing/2014/main" id="{00000000-0008-0000-0000-00005C010000}"/>
              </a:ext>
            </a:extLst>
          </xdr:cNvPr>
          <xdr:cNvCxnSpPr/>
        </xdr:nvCxnSpPr>
        <xdr:spPr>
          <a:xfrm flipH="1">
            <a:off x="10340577" y="2297905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" name="Conector recto de flecha 348">
            <a:extLst>
              <a:ext uri="{FF2B5EF4-FFF2-40B4-BE49-F238E27FC236}">
                <a16:creationId xmlns:a16="http://schemas.microsoft.com/office/drawing/2014/main" id="{00000000-0008-0000-0000-00005D010000}"/>
              </a:ext>
            </a:extLst>
          </xdr:cNvPr>
          <xdr:cNvCxnSpPr/>
        </xdr:nvCxnSpPr>
        <xdr:spPr>
          <a:xfrm flipH="1">
            <a:off x="10326290" y="2420540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" name="Conector recto de flecha 349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CxnSpPr/>
        </xdr:nvCxnSpPr>
        <xdr:spPr>
          <a:xfrm flipH="1">
            <a:off x="10323909" y="2572940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" name="Conector recto de flecha 350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CxnSpPr/>
        </xdr:nvCxnSpPr>
        <xdr:spPr>
          <a:xfrm flipH="1">
            <a:off x="10339387" y="2737246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Conector recto de flecha 351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CxnSpPr/>
        </xdr:nvCxnSpPr>
        <xdr:spPr>
          <a:xfrm flipH="1">
            <a:off x="10331053" y="2883693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Conector recto de flecha 352">
            <a:extLst>
              <a:ext uri="{FF2B5EF4-FFF2-40B4-BE49-F238E27FC236}">
                <a16:creationId xmlns:a16="http://schemas.microsoft.com/office/drawing/2014/main" id="{00000000-0008-0000-0000-000061010000}"/>
              </a:ext>
            </a:extLst>
          </xdr:cNvPr>
          <xdr:cNvCxnSpPr/>
        </xdr:nvCxnSpPr>
        <xdr:spPr>
          <a:xfrm flipH="1">
            <a:off x="10334625" y="3059906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Conector recto de flecha 353">
            <a:extLst>
              <a:ext uri="{FF2B5EF4-FFF2-40B4-BE49-F238E27FC236}">
                <a16:creationId xmlns:a16="http://schemas.microsoft.com/office/drawing/2014/main" id="{00000000-0008-0000-0000-000062010000}"/>
              </a:ext>
            </a:extLst>
          </xdr:cNvPr>
          <xdr:cNvCxnSpPr/>
        </xdr:nvCxnSpPr>
        <xdr:spPr>
          <a:xfrm flipH="1">
            <a:off x="10340578" y="3190875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Conector recto de flecha 354">
            <a:extLst>
              <a:ext uri="{FF2B5EF4-FFF2-40B4-BE49-F238E27FC236}">
                <a16:creationId xmlns:a16="http://schemas.microsoft.com/office/drawing/2014/main" id="{00000000-0008-0000-0000-000063010000}"/>
              </a:ext>
            </a:extLst>
          </xdr:cNvPr>
          <xdr:cNvCxnSpPr/>
        </xdr:nvCxnSpPr>
        <xdr:spPr>
          <a:xfrm flipH="1">
            <a:off x="10338197" y="3521869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Conector recto de flecha 355">
            <a:extLst>
              <a:ext uri="{FF2B5EF4-FFF2-40B4-BE49-F238E27FC236}">
                <a16:creationId xmlns:a16="http://schemas.microsoft.com/office/drawing/2014/main" id="{00000000-0008-0000-0000-000064010000}"/>
              </a:ext>
            </a:extLst>
          </xdr:cNvPr>
          <xdr:cNvCxnSpPr/>
        </xdr:nvCxnSpPr>
        <xdr:spPr>
          <a:xfrm flipH="1">
            <a:off x="10334625" y="3702844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Conector recto de flecha 356">
            <a:extLst>
              <a:ext uri="{FF2B5EF4-FFF2-40B4-BE49-F238E27FC236}">
                <a16:creationId xmlns:a16="http://schemas.microsoft.com/office/drawing/2014/main" id="{00000000-0008-0000-0000-000065010000}"/>
              </a:ext>
            </a:extLst>
          </xdr:cNvPr>
          <xdr:cNvCxnSpPr/>
        </xdr:nvCxnSpPr>
        <xdr:spPr>
          <a:xfrm flipH="1">
            <a:off x="10328671" y="3875485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Conector recto de flecha 357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CxnSpPr/>
        </xdr:nvCxnSpPr>
        <xdr:spPr>
          <a:xfrm flipH="1">
            <a:off x="10328671" y="4054078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Conector recto de flecha 358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CxnSpPr/>
        </xdr:nvCxnSpPr>
        <xdr:spPr>
          <a:xfrm flipH="1">
            <a:off x="10334625" y="4548188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Conector recto de flecha 359">
            <a:extLst>
              <a:ext uri="{FF2B5EF4-FFF2-40B4-BE49-F238E27FC236}">
                <a16:creationId xmlns:a16="http://schemas.microsoft.com/office/drawing/2014/main" id="{00000000-0008-0000-0000-000068010000}"/>
              </a:ext>
            </a:extLst>
          </xdr:cNvPr>
          <xdr:cNvCxnSpPr/>
        </xdr:nvCxnSpPr>
        <xdr:spPr>
          <a:xfrm flipH="1">
            <a:off x="10334624" y="4399360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Conector recto de flecha 360">
            <a:extLst>
              <a:ext uri="{FF2B5EF4-FFF2-40B4-BE49-F238E27FC236}">
                <a16:creationId xmlns:a16="http://schemas.microsoft.com/office/drawing/2014/main" id="{00000000-0008-0000-0000-000069010000}"/>
              </a:ext>
            </a:extLst>
          </xdr:cNvPr>
          <xdr:cNvCxnSpPr/>
        </xdr:nvCxnSpPr>
        <xdr:spPr>
          <a:xfrm flipH="1">
            <a:off x="10320338" y="4224337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Conector recto de flecha 361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CxnSpPr/>
        </xdr:nvCxnSpPr>
        <xdr:spPr>
          <a:xfrm flipH="1">
            <a:off x="10334625" y="3345657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Conector recto de flecha 362">
            <a:extLst>
              <a:ext uri="{FF2B5EF4-FFF2-40B4-BE49-F238E27FC236}">
                <a16:creationId xmlns:a16="http://schemas.microsoft.com/office/drawing/2014/main" id="{00000000-0008-0000-0000-00006B010000}"/>
              </a:ext>
            </a:extLst>
          </xdr:cNvPr>
          <xdr:cNvCxnSpPr/>
        </xdr:nvCxnSpPr>
        <xdr:spPr>
          <a:xfrm flipH="1">
            <a:off x="10346532" y="4702969"/>
            <a:ext cx="360000" cy="4167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386953</xdr:colOff>
      <xdr:row>16</xdr:row>
      <xdr:rowOff>119062</xdr:rowOff>
    </xdr:from>
    <xdr:to>
      <xdr:col>16</xdr:col>
      <xdr:colOff>732235</xdr:colOff>
      <xdr:row>17</xdr:row>
      <xdr:rowOff>119062</xdr:rowOff>
    </xdr:to>
    <xdr:cxnSp macro="">
      <xdr:nvCxnSpPr>
        <xdr:cNvPr id="366" name="Conector recto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CxnSpPr/>
      </xdr:nvCxnSpPr>
      <xdr:spPr>
        <a:xfrm flipV="1">
          <a:off x="10352484" y="3119437"/>
          <a:ext cx="1107282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398860</xdr:colOff>
      <xdr:row>17</xdr:row>
      <xdr:rowOff>113109</xdr:rowOff>
    </xdr:from>
    <xdr:to>
      <xdr:col>16</xdr:col>
      <xdr:colOff>756047</xdr:colOff>
      <xdr:row>17</xdr:row>
      <xdr:rowOff>113109</xdr:rowOff>
    </xdr:to>
    <xdr:cxnSp macro="">
      <xdr:nvCxnSpPr>
        <xdr:cNvPr id="368" name="Conector recto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CxnSpPr/>
      </xdr:nvCxnSpPr>
      <xdr:spPr>
        <a:xfrm flipV="1">
          <a:off x="10364391" y="3303984"/>
          <a:ext cx="1119187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202406</xdr:colOff>
      <xdr:row>17</xdr:row>
      <xdr:rowOff>23812</xdr:rowOff>
    </xdr:from>
    <xdr:to>
      <xdr:col>16</xdr:col>
      <xdr:colOff>273844</xdr:colOff>
      <xdr:row>17</xdr:row>
      <xdr:rowOff>154781</xdr:rowOff>
    </xdr:to>
    <xdr:sp macro="" textlink="">
      <xdr:nvSpPr>
        <xdr:cNvPr id="369" name="Arco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 rot="1022416">
          <a:off x="10929937" y="3214687"/>
          <a:ext cx="71438" cy="130969"/>
        </a:xfrm>
        <a:prstGeom prst="arc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327420</xdr:colOff>
      <xdr:row>17</xdr:row>
      <xdr:rowOff>17858</xdr:rowOff>
    </xdr:from>
    <xdr:to>
      <xdr:col>17</xdr:col>
      <xdr:colOff>35717</xdr:colOff>
      <xdr:row>18</xdr:row>
      <xdr:rowOff>5952</xdr:rowOff>
    </xdr:to>
    <xdr:sp macro="" textlink="">
      <xdr:nvSpPr>
        <xdr:cNvPr id="370" name="CuadroTexto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 rot="280459">
          <a:off x="11054951" y="3208733"/>
          <a:ext cx="470297" cy="1785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900"/>
            <a:t>δ</a:t>
          </a:r>
          <a:r>
            <a:rPr lang="es-PE" sz="900"/>
            <a:t>=24°</a:t>
          </a:r>
        </a:p>
      </xdr:txBody>
    </xdr:sp>
    <xdr:clientData/>
  </xdr:twoCellAnchor>
  <xdr:twoCellAnchor>
    <xdr:from>
      <xdr:col>14</xdr:col>
      <xdr:colOff>714375</xdr:colOff>
      <xdr:row>11</xdr:row>
      <xdr:rowOff>71437</xdr:rowOff>
    </xdr:from>
    <xdr:to>
      <xdr:col>14</xdr:col>
      <xdr:colOff>714375</xdr:colOff>
      <xdr:row>12</xdr:row>
      <xdr:rowOff>132937</xdr:rowOff>
    </xdr:to>
    <xdr:cxnSp macro="">
      <xdr:nvCxnSpPr>
        <xdr:cNvPr id="371" name="Conector recto de flecha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CxnSpPr/>
      </xdr:nvCxnSpPr>
      <xdr:spPr>
        <a:xfrm>
          <a:off x="9852422" y="2149078"/>
          <a:ext cx="0" cy="2520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416"/>
  <sheetViews>
    <sheetView showGridLines="0" tabSelected="1" view="pageBreakPreview" zoomScaleNormal="100" zoomScaleSheetLayoutView="100" workbookViewId="0">
      <selection activeCell="B17" sqref="B17:C17"/>
    </sheetView>
  </sheetViews>
  <sheetFormatPr baseColWidth="10" defaultRowHeight="16.5" x14ac:dyDescent="0.3"/>
  <cols>
    <col min="1" max="1" width="0.85546875" style="2" customWidth="1"/>
    <col min="2" max="2" width="13" style="74" customWidth="1"/>
    <col min="3" max="3" width="14.7109375" style="74" customWidth="1"/>
    <col min="4" max="4" width="12.5703125" style="74" customWidth="1"/>
    <col min="5" max="5" width="13.140625" style="74" customWidth="1"/>
    <col min="6" max="6" width="11.5703125" style="74" bestFit="1" customWidth="1"/>
    <col min="7" max="7" width="13" style="74" customWidth="1"/>
    <col min="8" max="8" width="11.5703125" style="74" bestFit="1" customWidth="1"/>
    <col min="9" max="10" width="0" style="74" hidden="1" customWidth="1"/>
    <col min="11" max="11" width="11.5703125" style="74" bestFit="1" customWidth="1"/>
    <col min="12" max="12" width="13" style="74" customWidth="1"/>
    <col min="13" max="13" width="10.85546875" style="74" customWidth="1"/>
    <col min="14" max="14" width="13.140625" style="74" bestFit="1" customWidth="1"/>
    <col min="15" max="15" width="12.42578125" style="74" customWidth="1"/>
    <col min="16" max="17" width="11.5703125" style="74" bestFit="1" customWidth="1"/>
    <col min="257" max="257" width="0.85546875" customWidth="1"/>
    <col min="258" max="258" width="13" customWidth="1"/>
    <col min="260" max="260" width="14.42578125" customWidth="1"/>
    <col min="513" max="513" width="0.85546875" customWidth="1"/>
    <col min="514" max="514" width="13" customWidth="1"/>
    <col min="516" max="516" width="14.42578125" customWidth="1"/>
    <col min="769" max="769" width="0.85546875" customWidth="1"/>
    <col min="770" max="770" width="13" customWidth="1"/>
    <col min="772" max="772" width="14.42578125" customWidth="1"/>
    <col min="1025" max="1025" width="0.85546875" customWidth="1"/>
    <col min="1026" max="1026" width="13" customWidth="1"/>
    <col min="1028" max="1028" width="14.42578125" customWidth="1"/>
    <col min="1281" max="1281" width="0.85546875" customWidth="1"/>
    <col min="1282" max="1282" width="13" customWidth="1"/>
    <col min="1284" max="1284" width="14.42578125" customWidth="1"/>
    <col min="1537" max="1537" width="0.85546875" customWidth="1"/>
    <col min="1538" max="1538" width="13" customWidth="1"/>
    <col min="1540" max="1540" width="14.42578125" customWidth="1"/>
    <col min="1793" max="1793" width="0.85546875" customWidth="1"/>
    <col min="1794" max="1794" width="13" customWidth="1"/>
    <col min="1796" max="1796" width="14.42578125" customWidth="1"/>
    <col min="2049" max="2049" width="0.85546875" customWidth="1"/>
    <col min="2050" max="2050" width="13" customWidth="1"/>
    <col min="2052" max="2052" width="14.42578125" customWidth="1"/>
    <col min="2305" max="2305" width="0.85546875" customWidth="1"/>
    <col min="2306" max="2306" width="13" customWidth="1"/>
    <col min="2308" max="2308" width="14.42578125" customWidth="1"/>
    <col min="2561" max="2561" width="0.85546875" customWidth="1"/>
    <col min="2562" max="2562" width="13" customWidth="1"/>
    <col min="2564" max="2564" width="14.42578125" customWidth="1"/>
    <col min="2817" max="2817" width="0.85546875" customWidth="1"/>
    <col min="2818" max="2818" width="13" customWidth="1"/>
    <col min="2820" max="2820" width="14.42578125" customWidth="1"/>
    <col min="3073" max="3073" width="0.85546875" customWidth="1"/>
    <col min="3074" max="3074" width="13" customWidth="1"/>
    <col min="3076" max="3076" width="14.42578125" customWidth="1"/>
    <col min="3329" max="3329" width="0.85546875" customWidth="1"/>
    <col min="3330" max="3330" width="13" customWidth="1"/>
    <col min="3332" max="3332" width="14.42578125" customWidth="1"/>
    <col min="3585" max="3585" width="0.85546875" customWidth="1"/>
    <col min="3586" max="3586" width="13" customWidth="1"/>
    <col min="3588" max="3588" width="14.42578125" customWidth="1"/>
    <col min="3841" max="3841" width="0.85546875" customWidth="1"/>
    <col min="3842" max="3842" width="13" customWidth="1"/>
    <col min="3844" max="3844" width="14.42578125" customWidth="1"/>
    <col min="4097" max="4097" width="0.85546875" customWidth="1"/>
    <col min="4098" max="4098" width="13" customWidth="1"/>
    <col min="4100" max="4100" width="14.42578125" customWidth="1"/>
    <col min="4353" max="4353" width="0.85546875" customWidth="1"/>
    <col min="4354" max="4354" width="13" customWidth="1"/>
    <col min="4356" max="4356" width="14.42578125" customWidth="1"/>
    <col min="4609" max="4609" width="0.85546875" customWidth="1"/>
    <col min="4610" max="4610" width="13" customWidth="1"/>
    <col min="4612" max="4612" width="14.42578125" customWidth="1"/>
    <col min="4865" max="4865" width="0.85546875" customWidth="1"/>
    <col min="4866" max="4866" width="13" customWidth="1"/>
    <col min="4868" max="4868" width="14.42578125" customWidth="1"/>
    <col min="5121" max="5121" width="0.85546875" customWidth="1"/>
    <col min="5122" max="5122" width="13" customWidth="1"/>
    <col min="5124" max="5124" width="14.42578125" customWidth="1"/>
    <col min="5377" max="5377" width="0.85546875" customWidth="1"/>
    <col min="5378" max="5378" width="13" customWidth="1"/>
    <col min="5380" max="5380" width="14.42578125" customWidth="1"/>
    <col min="5633" max="5633" width="0.85546875" customWidth="1"/>
    <col min="5634" max="5634" width="13" customWidth="1"/>
    <col min="5636" max="5636" width="14.42578125" customWidth="1"/>
    <col min="5889" max="5889" width="0.85546875" customWidth="1"/>
    <col min="5890" max="5890" width="13" customWidth="1"/>
    <col min="5892" max="5892" width="14.42578125" customWidth="1"/>
    <col min="6145" max="6145" width="0.85546875" customWidth="1"/>
    <col min="6146" max="6146" width="13" customWidth="1"/>
    <col min="6148" max="6148" width="14.42578125" customWidth="1"/>
    <col min="6401" max="6401" width="0.85546875" customWidth="1"/>
    <col min="6402" max="6402" width="13" customWidth="1"/>
    <col min="6404" max="6404" width="14.42578125" customWidth="1"/>
    <col min="6657" max="6657" width="0.85546875" customWidth="1"/>
    <col min="6658" max="6658" width="13" customWidth="1"/>
    <col min="6660" max="6660" width="14.42578125" customWidth="1"/>
    <col min="6913" max="6913" width="0.85546875" customWidth="1"/>
    <col min="6914" max="6914" width="13" customWidth="1"/>
    <col min="6916" max="6916" width="14.42578125" customWidth="1"/>
    <col min="7169" max="7169" width="0.85546875" customWidth="1"/>
    <col min="7170" max="7170" width="13" customWidth="1"/>
    <col min="7172" max="7172" width="14.42578125" customWidth="1"/>
    <col min="7425" max="7425" width="0.85546875" customWidth="1"/>
    <col min="7426" max="7426" width="13" customWidth="1"/>
    <col min="7428" max="7428" width="14.42578125" customWidth="1"/>
    <col min="7681" max="7681" width="0.85546875" customWidth="1"/>
    <col min="7682" max="7682" width="13" customWidth="1"/>
    <col min="7684" max="7684" width="14.42578125" customWidth="1"/>
    <col min="7937" max="7937" width="0.85546875" customWidth="1"/>
    <col min="7938" max="7938" width="13" customWidth="1"/>
    <col min="7940" max="7940" width="14.42578125" customWidth="1"/>
    <col min="8193" max="8193" width="0.85546875" customWidth="1"/>
    <col min="8194" max="8194" width="13" customWidth="1"/>
    <col min="8196" max="8196" width="14.42578125" customWidth="1"/>
    <col min="8449" max="8449" width="0.85546875" customWidth="1"/>
    <col min="8450" max="8450" width="13" customWidth="1"/>
    <col min="8452" max="8452" width="14.42578125" customWidth="1"/>
    <col min="8705" max="8705" width="0.85546875" customWidth="1"/>
    <col min="8706" max="8706" width="13" customWidth="1"/>
    <col min="8708" max="8708" width="14.42578125" customWidth="1"/>
    <col min="8961" max="8961" width="0.85546875" customWidth="1"/>
    <col min="8962" max="8962" width="13" customWidth="1"/>
    <col min="8964" max="8964" width="14.42578125" customWidth="1"/>
    <col min="9217" max="9217" width="0.85546875" customWidth="1"/>
    <col min="9218" max="9218" width="13" customWidth="1"/>
    <col min="9220" max="9220" width="14.42578125" customWidth="1"/>
    <col min="9473" max="9473" width="0.85546875" customWidth="1"/>
    <col min="9474" max="9474" width="13" customWidth="1"/>
    <col min="9476" max="9476" width="14.42578125" customWidth="1"/>
    <col min="9729" max="9729" width="0.85546875" customWidth="1"/>
    <col min="9730" max="9730" width="13" customWidth="1"/>
    <col min="9732" max="9732" width="14.42578125" customWidth="1"/>
    <col min="9985" max="9985" width="0.85546875" customWidth="1"/>
    <col min="9986" max="9986" width="13" customWidth="1"/>
    <col min="9988" max="9988" width="14.42578125" customWidth="1"/>
    <col min="10241" max="10241" width="0.85546875" customWidth="1"/>
    <col min="10242" max="10242" width="13" customWidth="1"/>
    <col min="10244" max="10244" width="14.42578125" customWidth="1"/>
    <col min="10497" max="10497" width="0.85546875" customWidth="1"/>
    <col min="10498" max="10498" width="13" customWidth="1"/>
    <col min="10500" max="10500" width="14.42578125" customWidth="1"/>
    <col min="10753" max="10753" width="0.85546875" customWidth="1"/>
    <col min="10754" max="10754" width="13" customWidth="1"/>
    <col min="10756" max="10756" width="14.42578125" customWidth="1"/>
    <col min="11009" max="11009" width="0.85546875" customWidth="1"/>
    <col min="11010" max="11010" width="13" customWidth="1"/>
    <col min="11012" max="11012" width="14.42578125" customWidth="1"/>
    <col min="11265" max="11265" width="0.85546875" customWidth="1"/>
    <col min="11266" max="11266" width="13" customWidth="1"/>
    <col min="11268" max="11268" width="14.42578125" customWidth="1"/>
    <col min="11521" max="11521" width="0.85546875" customWidth="1"/>
    <col min="11522" max="11522" width="13" customWidth="1"/>
    <col min="11524" max="11524" width="14.42578125" customWidth="1"/>
    <col min="11777" max="11777" width="0.85546875" customWidth="1"/>
    <col min="11778" max="11778" width="13" customWidth="1"/>
    <col min="11780" max="11780" width="14.42578125" customWidth="1"/>
    <col min="12033" max="12033" width="0.85546875" customWidth="1"/>
    <col min="12034" max="12034" width="13" customWidth="1"/>
    <col min="12036" max="12036" width="14.42578125" customWidth="1"/>
    <col min="12289" max="12289" width="0.85546875" customWidth="1"/>
    <col min="12290" max="12290" width="13" customWidth="1"/>
    <col min="12292" max="12292" width="14.42578125" customWidth="1"/>
    <col min="12545" max="12545" width="0.85546875" customWidth="1"/>
    <col min="12546" max="12546" width="13" customWidth="1"/>
    <col min="12548" max="12548" width="14.42578125" customWidth="1"/>
    <col min="12801" max="12801" width="0.85546875" customWidth="1"/>
    <col min="12802" max="12802" width="13" customWidth="1"/>
    <col min="12804" max="12804" width="14.42578125" customWidth="1"/>
    <col min="13057" max="13057" width="0.85546875" customWidth="1"/>
    <col min="13058" max="13058" width="13" customWidth="1"/>
    <col min="13060" max="13060" width="14.42578125" customWidth="1"/>
    <col min="13313" max="13313" width="0.85546875" customWidth="1"/>
    <col min="13314" max="13314" width="13" customWidth="1"/>
    <col min="13316" max="13316" width="14.42578125" customWidth="1"/>
    <col min="13569" max="13569" width="0.85546875" customWidth="1"/>
    <col min="13570" max="13570" width="13" customWidth="1"/>
    <col min="13572" max="13572" width="14.42578125" customWidth="1"/>
    <col min="13825" max="13825" width="0.85546875" customWidth="1"/>
    <col min="13826" max="13826" width="13" customWidth="1"/>
    <col min="13828" max="13828" width="14.42578125" customWidth="1"/>
    <col min="14081" max="14081" width="0.85546875" customWidth="1"/>
    <col min="14082" max="14082" width="13" customWidth="1"/>
    <col min="14084" max="14084" width="14.42578125" customWidth="1"/>
    <col min="14337" max="14337" width="0.85546875" customWidth="1"/>
    <col min="14338" max="14338" width="13" customWidth="1"/>
    <col min="14340" max="14340" width="14.42578125" customWidth="1"/>
    <col min="14593" max="14593" width="0.85546875" customWidth="1"/>
    <col min="14594" max="14594" width="13" customWidth="1"/>
    <col min="14596" max="14596" width="14.42578125" customWidth="1"/>
    <col min="14849" max="14849" width="0.85546875" customWidth="1"/>
    <col min="14850" max="14850" width="13" customWidth="1"/>
    <col min="14852" max="14852" width="14.42578125" customWidth="1"/>
    <col min="15105" max="15105" width="0.85546875" customWidth="1"/>
    <col min="15106" max="15106" width="13" customWidth="1"/>
    <col min="15108" max="15108" width="14.42578125" customWidth="1"/>
    <col min="15361" max="15361" width="0.85546875" customWidth="1"/>
    <col min="15362" max="15362" width="13" customWidth="1"/>
    <col min="15364" max="15364" width="14.42578125" customWidth="1"/>
    <col min="15617" max="15617" width="0.85546875" customWidth="1"/>
    <col min="15618" max="15618" width="13" customWidth="1"/>
    <col min="15620" max="15620" width="14.42578125" customWidth="1"/>
    <col min="15873" max="15873" width="0.85546875" customWidth="1"/>
    <col min="15874" max="15874" width="13" customWidth="1"/>
    <col min="15876" max="15876" width="14.42578125" customWidth="1"/>
    <col min="16129" max="16129" width="0.85546875" customWidth="1"/>
    <col min="16130" max="16130" width="13" customWidth="1"/>
    <col min="16132" max="16132" width="14.42578125" customWidth="1"/>
  </cols>
  <sheetData>
    <row r="1" spans="2:17" ht="18" customHeight="1" x14ac:dyDescent="0.3">
      <c r="B1" s="181" t="s">
        <v>0</v>
      </c>
      <c r="C1" s="181"/>
      <c r="D1" s="181"/>
      <c r="E1" s="181"/>
      <c r="F1" s="181"/>
      <c r="G1" s="181"/>
      <c r="H1" s="181"/>
      <c r="K1" s="181" t="s">
        <v>211</v>
      </c>
      <c r="L1" s="181"/>
      <c r="M1" s="181"/>
      <c r="N1" s="181"/>
      <c r="O1" s="181"/>
      <c r="P1" s="181"/>
      <c r="Q1" s="181"/>
    </row>
    <row r="3" spans="2:17" x14ac:dyDescent="0.3">
      <c r="B3" s="3" t="s">
        <v>1</v>
      </c>
      <c r="C3" s="3"/>
      <c r="K3" s="4" t="s">
        <v>16</v>
      </c>
      <c r="L3" s="4"/>
      <c r="M3" s="4"/>
      <c r="Q3" s="43" t="s">
        <v>223</v>
      </c>
    </row>
    <row r="4" spans="2:17" x14ac:dyDescent="0.3">
      <c r="B4" s="75" t="s">
        <v>2</v>
      </c>
      <c r="C4" s="75"/>
      <c r="D4" s="75"/>
      <c r="E4" s="76">
        <v>8</v>
      </c>
      <c r="F4" s="74" t="s">
        <v>3</v>
      </c>
      <c r="K4" s="74" t="s">
        <v>213</v>
      </c>
      <c r="O4" s="77" t="s">
        <v>212</v>
      </c>
      <c r="P4" s="78">
        <v>3</v>
      </c>
      <c r="Q4" s="5">
        <v>3</v>
      </c>
    </row>
    <row r="5" spans="2:17" x14ac:dyDescent="0.3">
      <c r="B5" s="75" t="s">
        <v>4</v>
      </c>
      <c r="C5" s="75"/>
      <c r="D5" s="75"/>
      <c r="E5" s="79" t="s">
        <v>5</v>
      </c>
      <c r="K5" s="74" t="s">
        <v>214</v>
      </c>
      <c r="O5" s="77" t="s">
        <v>219</v>
      </c>
      <c r="P5" s="78">
        <f>2*P4/3</f>
        <v>2</v>
      </c>
      <c r="Q5" s="5">
        <v>1.8</v>
      </c>
    </row>
    <row r="6" spans="2:17" x14ac:dyDescent="0.3">
      <c r="B6" s="75" t="s">
        <v>6</v>
      </c>
      <c r="C6" s="75"/>
      <c r="E6" s="76">
        <v>2</v>
      </c>
      <c r="K6" s="74" t="s">
        <v>215</v>
      </c>
      <c r="O6" s="77" t="s">
        <v>220</v>
      </c>
      <c r="P6" s="78">
        <f>+P4/7</f>
        <v>0.42857142857142855</v>
      </c>
      <c r="Q6" s="5">
        <v>0.4</v>
      </c>
    </row>
    <row r="7" spans="2:17" x14ac:dyDescent="0.3">
      <c r="E7" s="77"/>
      <c r="F7" s="6">
        <v>3.63</v>
      </c>
      <c r="G7" s="7">
        <v>14.52</v>
      </c>
      <c r="H7" s="7">
        <v>14.52</v>
      </c>
      <c r="K7" s="74" t="s">
        <v>216</v>
      </c>
      <c r="O7" s="77" t="s">
        <v>92</v>
      </c>
      <c r="P7" s="78">
        <f>+P4/8</f>
        <v>0.375</v>
      </c>
      <c r="Q7" s="5">
        <v>0.3</v>
      </c>
    </row>
    <row r="8" spans="2:17" ht="12.75" customHeight="1" x14ac:dyDescent="0.3">
      <c r="B8" s="3" t="s">
        <v>7</v>
      </c>
      <c r="C8" s="3"/>
      <c r="E8" s="77"/>
      <c r="K8" s="74" t="s">
        <v>217</v>
      </c>
      <c r="O8" s="77" t="s">
        <v>221</v>
      </c>
      <c r="P8" s="78">
        <f>+P4/8</f>
        <v>0.375</v>
      </c>
      <c r="Q8" s="5">
        <v>0.3</v>
      </c>
    </row>
    <row r="9" spans="2:17" x14ac:dyDescent="0.3">
      <c r="B9" s="75" t="s">
        <v>8</v>
      </c>
      <c r="C9" s="75"/>
      <c r="D9" s="75"/>
      <c r="E9" s="79">
        <v>280</v>
      </c>
      <c r="F9" s="74" t="s">
        <v>292</v>
      </c>
      <c r="K9" s="74" t="s">
        <v>218</v>
      </c>
      <c r="O9" s="77" t="s">
        <v>222</v>
      </c>
      <c r="P9" s="78">
        <v>0.4</v>
      </c>
      <c r="Q9" s="5">
        <v>0.4</v>
      </c>
    </row>
    <row r="10" spans="2:17" x14ac:dyDescent="0.3">
      <c r="B10" s="75" t="s">
        <v>9</v>
      </c>
      <c r="C10" s="75"/>
      <c r="D10" s="75"/>
      <c r="E10" s="79">
        <v>4200</v>
      </c>
      <c r="F10" s="74" t="s">
        <v>10</v>
      </c>
    </row>
    <row r="11" spans="2:17" x14ac:dyDescent="0.3">
      <c r="B11" s="75" t="s">
        <v>11</v>
      </c>
      <c r="C11" s="75"/>
      <c r="E11" s="76">
        <v>0.05</v>
      </c>
      <c r="F11" s="74" t="s">
        <v>3</v>
      </c>
      <c r="N11" s="8">
        <v>0.5</v>
      </c>
    </row>
    <row r="12" spans="2:17" x14ac:dyDescent="0.3">
      <c r="B12" s="75" t="s">
        <v>12</v>
      </c>
      <c r="C12" s="75"/>
      <c r="D12" s="75"/>
      <c r="E12" s="79">
        <v>2400</v>
      </c>
      <c r="F12" s="74" t="s">
        <v>293</v>
      </c>
      <c r="G12" s="80">
        <f>E12/1000</f>
        <v>2.4</v>
      </c>
      <c r="H12" s="74" t="s">
        <v>13</v>
      </c>
    </row>
    <row r="13" spans="2:17" ht="12.75" customHeight="1" x14ac:dyDescent="0.3">
      <c r="B13" s="75" t="s">
        <v>14</v>
      </c>
      <c r="C13" s="75"/>
      <c r="D13" s="75"/>
      <c r="E13" s="79">
        <v>2240</v>
      </c>
      <c r="F13" s="74" t="s">
        <v>293</v>
      </c>
      <c r="G13" s="80">
        <f>E13/1000</f>
        <v>2.2400000000000002</v>
      </c>
      <c r="H13" s="74" t="s">
        <v>13</v>
      </c>
      <c r="K13" s="77" t="s">
        <v>259</v>
      </c>
      <c r="L13" s="81">
        <f>+(DEGREES(ATAN(M23/(P19-L25-O14))))</f>
        <v>8.1301023541559783</v>
      </c>
      <c r="P13" s="9">
        <v>0.3</v>
      </c>
    </row>
    <row r="14" spans="2:17" x14ac:dyDescent="0.3">
      <c r="B14" s="74" t="s">
        <v>15</v>
      </c>
      <c r="E14" s="82">
        <v>0.02</v>
      </c>
      <c r="G14" s="83"/>
      <c r="K14" s="77" t="s">
        <v>262</v>
      </c>
      <c r="L14" s="84">
        <v>1600</v>
      </c>
      <c r="N14" s="9">
        <f>+Q9</f>
        <v>0.4</v>
      </c>
      <c r="O14" s="10">
        <v>0.4</v>
      </c>
    </row>
    <row r="15" spans="2:17" x14ac:dyDescent="0.3">
      <c r="E15" s="77"/>
      <c r="K15" s="77" t="s">
        <v>264</v>
      </c>
      <c r="L15" s="84">
        <v>2320</v>
      </c>
    </row>
    <row r="16" spans="2:17" x14ac:dyDescent="0.3">
      <c r="B16" s="4" t="s">
        <v>16</v>
      </c>
      <c r="C16" s="4"/>
      <c r="D16" s="4"/>
      <c r="H16" s="83"/>
    </row>
    <row r="17" spans="2:16" x14ac:dyDescent="0.3">
      <c r="B17" s="75" t="s">
        <v>17</v>
      </c>
      <c r="C17" s="75"/>
      <c r="D17" s="85" t="s">
        <v>18</v>
      </c>
      <c r="E17" s="85"/>
      <c r="F17" s="74">
        <f>E4</f>
        <v>8</v>
      </c>
      <c r="G17" s="74" t="s">
        <v>3</v>
      </c>
    </row>
    <row r="18" spans="2:16" x14ac:dyDescent="0.3">
      <c r="B18" s="75" t="s">
        <v>19</v>
      </c>
      <c r="C18" s="75"/>
      <c r="D18" s="77"/>
      <c r="E18" s="77"/>
      <c r="F18" s="86">
        <f>+E24</f>
        <v>7.2</v>
      </c>
      <c r="G18" s="74" t="s">
        <v>3</v>
      </c>
    </row>
    <row r="19" spans="2:16" x14ac:dyDescent="0.3">
      <c r="B19" s="75" t="s">
        <v>20</v>
      </c>
      <c r="C19" s="75"/>
      <c r="D19" s="85" t="s">
        <v>21</v>
      </c>
      <c r="E19" s="85"/>
      <c r="F19" s="74">
        <f>((1.2*(F17+3))/30)</f>
        <v>0.44</v>
      </c>
      <c r="G19" s="74" t="s">
        <v>3</v>
      </c>
      <c r="N19" s="87">
        <v>3</v>
      </c>
      <c r="P19" s="9">
        <f>+Q4</f>
        <v>3</v>
      </c>
    </row>
    <row r="20" spans="2:16" x14ac:dyDescent="0.3">
      <c r="C20" s="11" t="s">
        <v>22</v>
      </c>
      <c r="D20" s="11" t="s">
        <v>23</v>
      </c>
      <c r="E20" s="12">
        <v>0.45</v>
      </c>
      <c r="F20" s="74" t="s">
        <v>3</v>
      </c>
      <c r="N20" s="88">
        <v>2</v>
      </c>
    </row>
    <row r="21" spans="2:16" x14ac:dyDescent="0.3">
      <c r="B21" s="85" t="s">
        <v>24</v>
      </c>
      <c r="C21" s="85"/>
      <c r="D21" s="11" t="s">
        <v>25</v>
      </c>
      <c r="E21" s="89">
        <f>+C24</f>
        <v>0.15</v>
      </c>
      <c r="F21" s="74" t="s">
        <v>3</v>
      </c>
      <c r="G21" s="75" t="s">
        <v>26</v>
      </c>
      <c r="H21" s="75"/>
    </row>
    <row r="22" spans="2:16" x14ac:dyDescent="0.3">
      <c r="B22" s="85" t="s">
        <v>27</v>
      </c>
      <c r="C22" s="85"/>
      <c r="D22" s="11" t="s">
        <v>28</v>
      </c>
      <c r="E22" s="89">
        <v>0.25</v>
      </c>
      <c r="F22" s="74" t="s">
        <v>3</v>
      </c>
      <c r="G22" s="75" t="s">
        <v>26</v>
      </c>
      <c r="H22" s="75"/>
      <c r="M22" s="90">
        <v>1</v>
      </c>
    </row>
    <row r="23" spans="2:16" x14ac:dyDescent="0.3">
      <c r="K23" s="8">
        <v>0.3</v>
      </c>
      <c r="L23" s="8">
        <v>0.3</v>
      </c>
      <c r="M23" s="10">
        <v>0.3</v>
      </c>
      <c r="O23" s="10">
        <f>+Q8</f>
        <v>0.3</v>
      </c>
    </row>
    <row r="24" spans="2:16" x14ac:dyDescent="0.3">
      <c r="B24" s="91"/>
      <c r="C24" s="92">
        <v>0.15</v>
      </c>
      <c r="E24" s="93">
        <v>7.2</v>
      </c>
      <c r="F24" s="93"/>
      <c r="G24" s="92">
        <v>0.15</v>
      </c>
      <c r="H24" s="91"/>
      <c r="L24" s="94"/>
    </row>
    <row r="25" spans="2:16" x14ac:dyDescent="0.3">
      <c r="B25" s="91"/>
      <c r="C25" s="91"/>
      <c r="D25" s="91"/>
      <c r="E25" s="91"/>
      <c r="F25" s="91"/>
      <c r="G25" s="91"/>
      <c r="H25" s="91"/>
      <c r="L25" s="9">
        <v>0.5</v>
      </c>
      <c r="N25" s="95">
        <v>4</v>
      </c>
    </row>
    <row r="26" spans="2:16" x14ac:dyDescent="0.3">
      <c r="B26" s="96">
        <f>E22</f>
        <v>0.25</v>
      </c>
      <c r="C26" s="97"/>
      <c r="D26" s="98">
        <f>E14</f>
        <v>0.02</v>
      </c>
      <c r="E26" s="91"/>
      <c r="F26" s="98">
        <f>E14</f>
        <v>0.02</v>
      </c>
      <c r="G26" s="97"/>
      <c r="H26" s="91"/>
      <c r="L26" s="94" t="s">
        <v>243</v>
      </c>
    </row>
    <row r="27" spans="2:16" x14ac:dyDescent="0.3">
      <c r="B27" s="96"/>
      <c r="C27" s="97"/>
      <c r="D27" s="91"/>
      <c r="E27" s="91"/>
      <c r="F27" s="91"/>
      <c r="G27" s="97"/>
      <c r="H27" s="99">
        <f>E11</f>
        <v>0.05</v>
      </c>
      <c r="N27" s="9">
        <f>+Q5</f>
        <v>1.8</v>
      </c>
    </row>
    <row r="28" spans="2:16" x14ac:dyDescent="0.3">
      <c r="B28" s="91"/>
      <c r="C28" s="97"/>
      <c r="D28" s="97"/>
      <c r="E28" s="97"/>
      <c r="F28" s="97"/>
      <c r="G28" s="97"/>
      <c r="H28" s="91"/>
    </row>
    <row r="29" spans="2:16" x14ac:dyDescent="0.3">
      <c r="B29" s="100">
        <f>E20</f>
        <v>0.45</v>
      </c>
      <c r="C29" s="97"/>
      <c r="D29" s="97"/>
      <c r="E29" s="97"/>
      <c r="F29" s="97"/>
      <c r="G29" s="97"/>
      <c r="H29" s="91"/>
      <c r="K29" s="4" t="s">
        <v>224</v>
      </c>
      <c r="L29" s="4"/>
      <c r="M29" s="4"/>
    </row>
    <row r="30" spans="2:16" x14ac:dyDescent="0.3">
      <c r="B30" s="91"/>
      <c r="C30" s="97"/>
      <c r="D30" s="97"/>
      <c r="E30" s="97"/>
      <c r="F30" s="97"/>
      <c r="G30" s="97"/>
      <c r="H30" s="91"/>
      <c r="K30" s="13" t="s">
        <v>225</v>
      </c>
      <c r="L30" s="13"/>
    </row>
    <row r="31" spans="2:16" x14ac:dyDescent="0.3">
      <c r="B31" s="91"/>
      <c r="C31" s="91"/>
      <c r="D31" s="91"/>
      <c r="E31" s="91"/>
      <c r="F31" s="91"/>
      <c r="G31" s="91"/>
      <c r="H31" s="91"/>
      <c r="K31" s="74" t="s">
        <v>226</v>
      </c>
      <c r="O31" s="101">
        <v>31</v>
      </c>
    </row>
    <row r="32" spans="2:16" x14ac:dyDescent="0.3">
      <c r="B32" s="91"/>
      <c r="D32" s="102"/>
      <c r="E32" s="102">
        <f>(C24+E24+G24)</f>
        <v>7.5000000000000009</v>
      </c>
      <c r="F32" s="102"/>
      <c r="G32" s="102"/>
      <c r="H32" s="91"/>
      <c r="K32" s="74" t="s">
        <v>227</v>
      </c>
      <c r="O32" s="101">
        <v>20</v>
      </c>
    </row>
    <row r="33" spans="2:15" x14ac:dyDescent="0.3">
      <c r="B33" s="14" t="s">
        <v>29</v>
      </c>
      <c r="C33" s="14"/>
      <c r="K33" s="74" t="s">
        <v>228</v>
      </c>
      <c r="O33" s="101">
        <v>0</v>
      </c>
    </row>
    <row r="34" spans="2:15" x14ac:dyDescent="0.3">
      <c r="B34" s="15" t="s">
        <v>30</v>
      </c>
      <c r="C34" s="15"/>
      <c r="K34" s="74" t="s">
        <v>229</v>
      </c>
      <c r="O34" s="101">
        <v>90</v>
      </c>
    </row>
    <row r="35" spans="2:15" x14ac:dyDescent="0.3">
      <c r="B35" s="16" t="s">
        <v>31</v>
      </c>
      <c r="C35" s="16"/>
      <c r="D35" s="16"/>
      <c r="E35" s="74" t="s">
        <v>32</v>
      </c>
    </row>
    <row r="36" spans="2:15" x14ac:dyDescent="0.3">
      <c r="N36" s="103" t="s">
        <v>230</v>
      </c>
      <c r="O36" s="17">
        <f>+(1+SQRT((SIN(RADIANS(O31+O32))*SIN(RADIANS(O31)))/(COS(RADIANS(O32)))))^2</f>
        <v>2.7312406711095503</v>
      </c>
    </row>
    <row r="37" spans="2:15" x14ac:dyDescent="0.3">
      <c r="B37" s="18" t="s">
        <v>33</v>
      </c>
      <c r="C37" s="19" t="s">
        <v>34</v>
      </c>
      <c r="D37" s="19"/>
      <c r="E37" s="104">
        <f>+$B$29*1*$G$12</f>
        <v>1.08</v>
      </c>
      <c r="F37" s="74" t="s">
        <v>35</v>
      </c>
      <c r="N37" s="103" t="s">
        <v>231</v>
      </c>
      <c r="O37" s="20">
        <f>+((COS(RADIANS(O31)))^2)/(O36*COS(RADIANS(O32)))</f>
        <v>0.28627630493048256</v>
      </c>
    </row>
    <row r="38" spans="2:15" x14ac:dyDescent="0.3">
      <c r="B38" s="18"/>
      <c r="C38" s="19" t="s">
        <v>36</v>
      </c>
      <c r="D38" s="19"/>
      <c r="E38" s="21">
        <f>+E37*(F17^2)/F17</f>
        <v>8.64</v>
      </c>
      <c r="F38" s="22" t="s">
        <v>37</v>
      </c>
      <c r="K38" s="13" t="s">
        <v>232</v>
      </c>
    </row>
    <row r="39" spans="2:15" x14ac:dyDescent="0.3">
      <c r="B39" s="77"/>
      <c r="C39" s="104">
        <f>G39</f>
        <v>1.08</v>
      </c>
      <c r="D39" s="105"/>
      <c r="F39" s="77" t="s">
        <v>38</v>
      </c>
      <c r="G39" s="86">
        <f>+E37</f>
        <v>1.08</v>
      </c>
      <c r="H39" s="74" t="s">
        <v>35</v>
      </c>
    </row>
    <row r="40" spans="2:15" x14ac:dyDescent="0.3">
      <c r="D40" s="77"/>
      <c r="F40" s="77" t="s">
        <v>39</v>
      </c>
      <c r="G40" s="86">
        <f>E4</f>
        <v>8</v>
      </c>
      <c r="H40" s="74" t="s">
        <v>3</v>
      </c>
    </row>
    <row r="41" spans="2:15" ht="17.25" thickBot="1" x14ac:dyDescent="0.35">
      <c r="C41" s="105"/>
      <c r="F41" s="77" t="s">
        <v>303</v>
      </c>
      <c r="G41" s="86">
        <f>G39*((G40*2)/2)</f>
        <v>8.64</v>
      </c>
      <c r="H41" s="74" t="s">
        <v>40</v>
      </c>
    </row>
    <row r="42" spans="2:15" ht="17.25" thickBot="1" x14ac:dyDescent="0.35">
      <c r="B42" s="23"/>
      <c r="C42" s="24"/>
      <c r="D42" s="25"/>
      <c r="F42" s="77" t="s">
        <v>303</v>
      </c>
      <c r="G42" s="86">
        <f>((G39)*(G40*G40))/8</f>
        <v>8.64</v>
      </c>
      <c r="H42" s="74" t="s">
        <v>40</v>
      </c>
    </row>
    <row r="43" spans="2:15" x14ac:dyDescent="0.3">
      <c r="B43" s="106">
        <f>G40</f>
        <v>8</v>
      </c>
      <c r="C43" s="106"/>
      <c r="D43" s="106"/>
    </row>
    <row r="44" spans="2:15" x14ac:dyDescent="0.3">
      <c r="B44" s="46"/>
      <c r="C44" s="26">
        <f>D46/2</f>
        <v>2</v>
      </c>
      <c r="F44" s="77"/>
      <c r="G44" s="86"/>
      <c r="M44" s="77" t="s">
        <v>233</v>
      </c>
      <c r="N44" s="17">
        <v>0.9</v>
      </c>
    </row>
    <row r="45" spans="2:15" x14ac:dyDescent="0.3">
      <c r="C45" s="27"/>
      <c r="K45" s="107" t="s">
        <v>260</v>
      </c>
    </row>
    <row r="46" spans="2:15" x14ac:dyDescent="0.3">
      <c r="B46" s="86">
        <f>B43/2</f>
        <v>4</v>
      </c>
      <c r="D46" s="108">
        <f>B43/2</f>
        <v>4</v>
      </c>
      <c r="K46" s="74" t="s">
        <v>261</v>
      </c>
      <c r="N46" s="28">
        <f>+O37*N44*L14</f>
        <v>412.23787909989494</v>
      </c>
    </row>
    <row r="47" spans="2:15" ht="17.25" thickBot="1" x14ac:dyDescent="0.35">
      <c r="K47" s="74" t="s">
        <v>263</v>
      </c>
      <c r="N47" s="28">
        <f>+O37*L15*P13</f>
        <v>199.24830823161585</v>
      </c>
    </row>
    <row r="48" spans="2:15" x14ac:dyDescent="0.3">
      <c r="C48" s="29" t="s">
        <v>304</v>
      </c>
      <c r="D48" s="30">
        <f>G42</f>
        <v>8.64</v>
      </c>
      <c r="E48" s="29" t="s">
        <v>40</v>
      </c>
      <c r="F48" s="109" t="s">
        <v>41</v>
      </c>
      <c r="G48" s="110"/>
      <c r="K48" s="74" t="s">
        <v>265</v>
      </c>
      <c r="N48" s="28">
        <f>+O37*(P19-P13)*L14</f>
        <v>1236.7136372996847</v>
      </c>
    </row>
    <row r="49" spans="2:16" ht="17.25" thickBot="1" x14ac:dyDescent="0.35">
      <c r="C49" s="111"/>
      <c r="D49" s="111"/>
      <c r="E49" s="111"/>
      <c r="F49" s="112"/>
      <c r="G49" s="113"/>
    </row>
    <row r="50" spans="2:16" x14ac:dyDescent="0.3">
      <c r="C50" s="114"/>
      <c r="D50" s="114"/>
      <c r="E50" s="115"/>
      <c r="F50" s="116"/>
      <c r="G50" s="116"/>
      <c r="K50" s="13" t="s">
        <v>234</v>
      </c>
    </row>
    <row r="51" spans="2:16" x14ac:dyDescent="0.3">
      <c r="B51" s="18" t="s">
        <v>42</v>
      </c>
      <c r="C51" s="19" t="s">
        <v>43</v>
      </c>
      <c r="D51" s="19"/>
      <c r="E51" s="104">
        <f>+$H$27*1*$G$13</f>
        <v>0.11200000000000002</v>
      </c>
      <c r="F51" s="74" t="s">
        <v>35</v>
      </c>
      <c r="K51" s="16" t="s">
        <v>235</v>
      </c>
      <c r="L51" s="16"/>
      <c r="M51" s="16"/>
    </row>
    <row r="52" spans="2:16" x14ac:dyDescent="0.3">
      <c r="B52" s="18"/>
      <c r="C52" s="19" t="s">
        <v>44</v>
      </c>
      <c r="D52" s="19"/>
      <c r="E52" s="21">
        <f>+E51*F17^2/F17</f>
        <v>0.89600000000000013</v>
      </c>
      <c r="F52" s="22" t="s">
        <v>37</v>
      </c>
      <c r="K52" s="107" t="s">
        <v>236</v>
      </c>
    </row>
    <row r="53" spans="2:16" x14ac:dyDescent="0.3">
      <c r="B53" s="31"/>
      <c r="C53" s="11"/>
      <c r="D53" s="11"/>
      <c r="F53" s="22"/>
      <c r="K53" s="74" t="s">
        <v>294</v>
      </c>
      <c r="L53" s="117">
        <v>2320</v>
      </c>
    </row>
    <row r="54" spans="2:16" x14ac:dyDescent="0.3">
      <c r="F54" s="77" t="s">
        <v>38</v>
      </c>
      <c r="G54" s="86">
        <f>+E51</f>
        <v>0.11200000000000002</v>
      </c>
      <c r="H54" s="74" t="s">
        <v>35</v>
      </c>
      <c r="K54" s="118" t="s">
        <v>237</v>
      </c>
      <c r="L54" s="118" t="s">
        <v>238</v>
      </c>
      <c r="M54" s="118" t="s">
        <v>239</v>
      </c>
      <c r="N54" s="118" t="s">
        <v>240</v>
      </c>
      <c r="O54" s="118" t="s">
        <v>241</v>
      </c>
    </row>
    <row r="55" spans="2:16" x14ac:dyDescent="0.3">
      <c r="B55" s="77"/>
      <c r="C55" s="104">
        <f>G54</f>
        <v>0.11200000000000002</v>
      </c>
      <c r="D55" s="105"/>
      <c r="F55" s="77" t="s">
        <v>39</v>
      </c>
      <c r="G55" s="86">
        <f>E4</f>
        <v>8</v>
      </c>
      <c r="H55" s="74" t="s">
        <v>3</v>
      </c>
      <c r="K55" s="119">
        <v>1</v>
      </c>
      <c r="L55" s="120">
        <f>+(P19-O14-L25)*(N27-O23-L23-N14-N11)/2</f>
        <v>0.31499999999999995</v>
      </c>
      <c r="M55" s="120">
        <f>+L55*$L$53</f>
        <v>730.79999999999984</v>
      </c>
      <c r="N55" s="120">
        <f>+(M23*2/3)+L23</f>
        <v>0.5</v>
      </c>
      <c r="O55" s="120">
        <f>+M55*N55</f>
        <v>365.39999999999992</v>
      </c>
    </row>
    <row r="56" spans="2:16" x14ac:dyDescent="0.3">
      <c r="D56" s="77"/>
      <c r="F56" s="77" t="s">
        <v>303</v>
      </c>
      <c r="G56" s="86">
        <f>G54*((G55*2)/2)</f>
        <v>0.89600000000000013</v>
      </c>
      <c r="H56" s="74" t="s">
        <v>40</v>
      </c>
      <c r="K56" s="121">
        <v>2</v>
      </c>
      <c r="L56" s="120">
        <f>+N14*(P19-O14-L25)</f>
        <v>0.84000000000000008</v>
      </c>
      <c r="M56" s="120">
        <f t="shared" ref="M56:M58" si="0">+L56*$L$53</f>
        <v>1948.8000000000002</v>
      </c>
      <c r="N56" s="120">
        <f>+(N14/2)+M23+L23</f>
        <v>0.8</v>
      </c>
      <c r="O56" s="120">
        <f t="shared" ref="O56:O58" si="1">+M56*N56</f>
        <v>1559.0400000000002</v>
      </c>
    </row>
    <row r="57" spans="2:16" ht="17.25" thickBot="1" x14ac:dyDescent="0.35">
      <c r="C57" s="105"/>
      <c r="F57" s="77" t="s">
        <v>303</v>
      </c>
      <c r="G57" s="86">
        <f>((G54)*(G55*G55))/8</f>
        <v>0.89600000000000013</v>
      </c>
      <c r="H57" s="74" t="s">
        <v>40</v>
      </c>
      <c r="K57" s="122">
        <v>3</v>
      </c>
      <c r="L57" s="120">
        <f>+N11*(P19-L25)</f>
        <v>1.25</v>
      </c>
      <c r="M57" s="120">
        <f t="shared" si="0"/>
        <v>2900</v>
      </c>
      <c r="N57" s="120">
        <f>+(N11/2)+N14+M23+L23</f>
        <v>1.25</v>
      </c>
      <c r="O57" s="120">
        <f t="shared" si="1"/>
        <v>3625</v>
      </c>
    </row>
    <row r="58" spans="2:16" ht="17.25" thickBot="1" x14ac:dyDescent="0.35">
      <c r="B58" s="23"/>
      <c r="C58" s="123"/>
      <c r="D58" s="124"/>
      <c r="K58" s="125">
        <v>4</v>
      </c>
      <c r="L58" s="120">
        <f>+L25*N27*1</f>
        <v>0.9</v>
      </c>
      <c r="M58" s="120">
        <f t="shared" si="0"/>
        <v>2088</v>
      </c>
      <c r="N58" s="120">
        <f>+N27/2</f>
        <v>0.9</v>
      </c>
      <c r="O58" s="120">
        <f t="shared" si="1"/>
        <v>1879.2</v>
      </c>
    </row>
    <row r="59" spans="2:16" ht="17.25" thickBot="1" x14ac:dyDescent="0.35">
      <c r="B59" s="106">
        <f>G55</f>
        <v>8</v>
      </c>
      <c r="C59" s="106"/>
      <c r="D59" s="106"/>
      <c r="F59" s="77"/>
      <c r="G59" s="86"/>
      <c r="K59" s="120" t="s">
        <v>242</v>
      </c>
      <c r="L59" s="118"/>
      <c r="M59" s="120">
        <f>+SUM(M55:M58)</f>
        <v>7667.6</v>
      </c>
      <c r="N59" s="118"/>
      <c r="O59" s="120">
        <f>+SUM(O55:O58)</f>
        <v>7428.64</v>
      </c>
    </row>
    <row r="60" spans="2:16" x14ac:dyDescent="0.3">
      <c r="C60" s="32" t="s">
        <v>305</v>
      </c>
      <c r="D60" s="33">
        <f>G57</f>
        <v>0.89600000000000013</v>
      </c>
      <c r="E60" s="34" t="s">
        <v>40</v>
      </c>
      <c r="F60" s="126" t="s">
        <v>45</v>
      </c>
      <c r="G60" s="110"/>
    </row>
    <row r="61" spans="2:16" ht="17.25" thickBot="1" x14ac:dyDescent="0.35">
      <c r="C61" s="127"/>
      <c r="D61" s="127"/>
      <c r="E61" s="128"/>
      <c r="F61" s="129"/>
      <c r="G61" s="113"/>
      <c r="K61" s="77" t="s">
        <v>244</v>
      </c>
      <c r="L61" s="130">
        <f>+M59</f>
        <v>7667.6</v>
      </c>
      <c r="M61" s="77" t="s">
        <v>245</v>
      </c>
      <c r="N61" s="78">
        <f>+O59/M59</f>
        <v>0.96883509833585479</v>
      </c>
    </row>
    <row r="62" spans="2:16" x14ac:dyDescent="0.3">
      <c r="B62" s="16" t="s">
        <v>46</v>
      </c>
      <c r="C62" s="16"/>
      <c r="D62" s="16"/>
    </row>
    <row r="63" spans="2:16" x14ac:dyDescent="0.3">
      <c r="B63" s="35" t="s">
        <v>47</v>
      </c>
      <c r="C63" s="35"/>
      <c r="D63" s="35"/>
      <c r="F63" s="35" t="s">
        <v>48</v>
      </c>
      <c r="G63" s="35"/>
      <c r="H63" s="35"/>
      <c r="K63" s="74" t="s">
        <v>248</v>
      </c>
      <c r="O63" s="77" t="s">
        <v>249</v>
      </c>
      <c r="P63" s="130">
        <f>0.3*0.3*L53</f>
        <v>208.79999999999998</v>
      </c>
    </row>
    <row r="64" spans="2:16" x14ac:dyDescent="0.3">
      <c r="K64" s="74" t="s">
        <v>246</v>
      </c>
      <c r="O64" s="77" t="s">
        <v>247</v>
      </c>
      <c r="P64" s="130">
        <f>+E32*B29*2400</f>
        <v>8100.0000000000009</v>
      </c>
    </row>
    <row r="66" spans="2:17" x14ac:dyDescent="0.3">
      <c r="K66" s="107" t="s">
        <v>250</v>
      </c>
    </row>
    <row r="67" spans="2:17" x14ac:dyDescent="0.3">
      <c r="K67" s="77" t="s">
        <v>251</v>
      </c>
      <c r="L67" s="130">
        <f>+H27*G13*1000*E24</f>
        <v>806.40000000000009</v>
      </c>
    </row>
    <row r="69" spans="2:17" x14ac:dyDescent="0.3">
      <c r="B69" s="74">
        <v>3.63</v>
      </c>
      <c r="C69" s="131">
        <v>14.52</v>
      </c>
      <c r="D69" s="131">
        <v>14.52</v>
      </c>
      <c r="F69" s="86">
        <v>11.34</v>
      </c>
      <c r="G69" s="132">
        <v>11.34</v>
      </c>
      <c r="K69" s="107" t="s">
        <v>252</v>
      </c>
    </row>
    <row r="70" spans="2:17" x14ac:dyDescent="0.3">
      <c r="K70" s="74" t="s">
        <v>295</v>
      </c>
      <c r="L70" s="117">
        <v>1600</v>
      </c>
    </row>
    <row r="71" spans="2:17" x14ac:dyDescent="0.3">
      <c r="K71" s="118" t="s">
        <v>237</v>
      </c>
      <c r="L71" s="118" t="s">
        <v>238</v>
      </c>
      <c r="M71" s="118" t="s">
        <v>253</v>
      </c>
      <c r="N71" s="118" t="s">
        <v>240</v>
      </c>
      <c r="O71" s="118" t="s">
        <v>254</v>
      </c>
    </row>
    <row r="72" spans="2:17" x14ac:dyDescent="0.3">
      <c r="E72" s="105"/>
      <c r="F72" s="77"/>
      <c r="G72" s="77"/>
      <c r="K72" s="121">
        <v>1</v>
      </c>
      <c r="L72" s="120">
        <f>+K23*L23*1</f>
        <v>0.09</v>
      </c>
      <c r="M72" s="133">
        <f>+L72*$L$70</f>
        <v>144</v>
      </c>
      <c r="N72" s="133">
        <f>+L23/2</f>
        <v>0.15</v>
      </c>
      <c r="O72" s="133">
        <f>+M72*N72</f>
        <v>21.599999999999998</v>
      </c>
    </row>
    <row r="73" spans="2:17" x14ac:dyDescent="0.3">
      <c r="G73" s="77"/>
      <c r="K73" s="121">
        <v>2</v>
      </c>
      <c r="L73" s="134">
        <f>0.3*TAN(RADIANS(L13))/2</f>
        <v>2.1428571428571425E-2</v>
      </c>
      <c r="M73" s="133">
        <f t="shared" ref="M73:M74" si="2">+L73*$L$70</f>
        <v>34.285714285714278</v>
      </c>
      <c r="N73" s="133">
        <f>+L23+(TAN(RADIANS(L13)))/3</f>
        <v>0.34761904761904761</v>
      </c>
      <c r="O73" s="133">
        <f t="shared" ref="O73:O74" si="3">+M73*N73</f>
        <v>11.918367346938773</v>
      </c>
    </row>
    <row r="74" spans="2:17" x14ac:dyDescent="0.3">
      <c r="F74" s="105"/>
      <c r="K74" s="121">
        <v>3</v>
      </c>
      <c r="L74" s="120">
        <f>+O23*(P19-0.3-L25)</f>
        <v>0.66</v>
      </c>
      <c r="M74" s="133">
        <f t="shared" si="2"/>
        <v>1056</v>
      </c>
      <c r="N74" s="133">
        <f>+N27-O23/2</f>
        <v>1.6500000000000001</v>
      </c>
      <c r="O74" s="133">
        <f t="shared" si="3"/>
        <v>1742.4</v>
      </c>
    </row>
    <row r="75" spans="2:17" x14ac:dyDescent="0.3">
      <c r="F75" s="105"/>
      <c r="K75" s="120" t="s">
        <v>242</v>
      </c>
      <c r="L75" s="118"/>
      <c r="M75" s="133">
        <f>+SUM(M72:M74)</f>
        <v>1234.2857142857142</v>
      </c>
      <c r="N75" s="135"/>
      <c r="O75" s="133">
        <f>+SUM(O72:O74)</f>
        <v>1775.9183673469388</v>
      </c>
    </row>
    <row r="76" spans="2:17" x14ac:dyDescent="0.3">
      <c r="B76" s="77"/>
      <c r="C76" s="86"/>
      <c r="F76" s="105"/>
    </row>
    <row r="77" spans="2:17" x14ac:dyDescent="0.3">
      <c r="E77" s="46"/>
      <c r="F77" s="36"/>
      <c r="K77" s="77" t="s">
        <v>244</v>
      </c>
      <c r="L77" s="130">
        <f>+M75</f>
        <v>1234.2857142857142</v>
      </c>
      <c r="M77" s="77" t="s">
        <v>245</v>
      </c>
      <c r="N77" s="78">
        <f>+O75/M75</f>
        <v>1.4388227513227514</v>
      </c>
    </row>
    <row r="78" spans="2:17" x14ac:dyDescent="0.3">
      <c r="F78" s="36"/>
      <c r="K78" s="107" t="s">
        <v>256</v>
      </c>
    </row>
    <row r="79" spans="2:17" x14ac:dyDescent="0.3">
      <c r="G79" s="105"/>
      <c r="K79" s="74" t="s">
        <v>257</v>
      </c>
      <c r="L79" s="136">
        <f>+P19-0.3</f>
        <v>2.7</v>
      </c>
      <c r="M79" s="74" t="s">
        <v>258</v>
      </c>
      <c r="O79" s="74" t="s">
        <v>266</v>
      </c>
      <c r="P79" s="136"/>
    </row>
    <row r="80" spans="2:17" x14ac:dyDescent="0.3">
      <c r="G80" s="105"/>
      <c r="K80" s="74" t="s">
        <v>296</v>
      </c>
      <c r="M80" s="37">
        <f>+(N48*(P19-P13)/2)*SIN(RADIANS($O$32))</f>
        <v>571.02431690076378</v>
      </c>
      <c r="O80" s="74" t="s">
        <v>297</v>
      </c>
      <c r="Q80" s="37">
        <f>+(N47*(P19-P13)*SIN(RADIANS($O$32)))</f>
        <v>183.99672433469055</v>
      </c>
    </row>
    <row r="82" spans="2:15" x14ac:dyDescent="0.3">
      <c r="K82" s="107" t="s">
        <v>267</v>
      </c>
    </row>
    <row r="83" spans="2:15" x14ac:dyDescent="0.3">
      <c r="E83" s="105"/>
      <c r="F83" s="131"/>
      <c r="G83" s="77"/>
      <c r="K83" s="77" t="s">
        <v>268</v>
      </c>
      <c r="M83" s="37">
        <v>5000</v>
      </c>
    </row>
    <row r="84" spans="2:15" x14ac:dyDescent="0.3">
      <c r="G84" s="77"/>
    </row>
    <row r="85" spans="2:15" x14ac:dyDescent="0.3">
      <c r="F85" s="105"/>
      <c r="K85" s="107" t="s">
        <v>269</v>
      </c>
    </row>
    <row r="86" spans="2:15" x14ac:dyDescent="0.3">
      <c r="F86" s="105"/>
      <c r="K86" s="74" t="s">
        <v>271</v>
      </c>
    </row>
    <row r="87" spans="2:15" ht="17.25" thickBot="1" x14ac:dyDescent="0.35">
      <c r="B87" s="22" t="s">
        <v>298</v>
      </c>
      <c r="C87" s="22"/>
      <c r="E87" s="86"/>
      <c r="K87" s="77" t="s">
        <v>270</v>
      </c>
      <c r="M87" s="37">
        <f>0.3*0.8*1600</f>
        <v>384</v>
      </c>
    </row>
    <row r="88" spans="2:15" ht="17.25" thickBot="1" x14ac:dyDescent="0.35">
      <c r="D88" s="38" t="s">
        <v>49</v>
      </c>
      <c r="E88" s="39">
        <v>3.7</v>
      </c>
      <c r="F88" s="40" t="s">
        <v>3</v>
      </c>
      <c r="K88" s="74" t="s">
        <v>272</v>
      </c>
    </row>
    <row r="89" spans="2:15" x14ac:dyDescent="0.3">
      <c r="K89" s="105" t="s">
        <v>299</v>
      </c>
      <c r="M89" s="37">
        <f>+N46*(P19-P13)*SIN(RADIANS(O32))</f>
        <v>380.68287793384258</v>
      </c>
    </row>
    <row r="90" spans="2:15" ht="17.25" thickBot="1" x14ac:dyDescent="0.35">
      <c r="B90" s="22" t="s">
        <v>300</v>
      </c>
      <c r="C90" s="22"/>
    </row>
    <row r="91" spans="2:15" ht="17.25" thickBot="1" x14ac:dyDescent="0.35">
      <c r="D91" s="38" t="s">
        <v>50</v>
      </c>
      <c r="E91" s="41">
        <v>38.81</v>
      </c>
      <c r="F91" s="40" t="s">
        <v>40</v>
      </c>
      <c r="K91" s="74" t="s">
        <v>273</v>
      </c>
    </row>
    <row r="92" spans="2:15" x14ac:dyDescent="0.3">
      <c r="K92" s="137" t="s">
        <v>71</v>
      </c>
      <c r="L92" s="137" t="s">
        <v>274</v>
      </c>
      <c r="M92" s="137" t="s">
        <v>275</v>
      </c>
      <c r="N92" s="137" t="s">
        <v>240</v>
      </c>
      <c r="O92" s="137" t="s">
        <v>276</v>
      </c>
    </row>
    <row r="93" spans="2:15" ht="17.25" thickBot="1" x14ac:dyDescent="0.35">
      <c r="B93" s="42" t="s">
        <v>51</v>
      </c>
      <c r="G93" s="104"/>
      <c r="K93" s="120" t="s">
        <v>277</v>
      </c>
      <c r="L93" s="120" t="s">
        <v>33</v>
      </c>
      <c r="M93" s="138">
        <f>+L61</f>
        <v>7667.6</v>
      </c>
      <c r="N93" s="139">
        <f>+N61</f>
        <v>0.96883509833585479</v>
      </c>
      <c r="O93" s="140">
        <f>+M93*N93</f>
        <v>7428.64</v>
      </c>
    </row>
    <row r="94" spans="2:15" ht="17.25" thickBot="1" x14ac:dyDescent="0.35">
      <c r="D94" s="38" t="s">
        <v>52</v>
      </c>
      <c r="E94" s="41">
        <v>7.57</v>
      </c>
      <c r="F94" s="40" t="s">
        <v>40</v>
      </c>
      <c r="K94" s="120" t="s">
        <v>278</v>
      </c>
      <c r="L94" s="120" t="s">
        <v>33</v>
      </c>
      <c r="M94" s="138">
        <f>+P63</f>
        <v>208.79999999999998</v>
      </c>
      <c r="N94" s="133">
        <f>+N74</f>
        <v>1.6500000000000001</v>
      </c>
      <c r="O94" s="140">
        <f t="shared" ref="O94:O102" si="4">+M94*N94</f>
        <v>344.52</v>
      </c>
    </row>
    <row r="95" spans="2:15" x14ac:dyDescent="0.3">
      <c r="E95" s="131"/>
      <c r="F95" s="131"/>
      <c r="K95" s="120" t="s">
        <v>279</v>
      </c>
      <c r="L95" s="120" t="s">
        <v>33</v>
      </c>
      <c r="M95" s="138">
        <f>+P64</f>
        <v>8100.0000000000009</v>
      </c>
      <c r="N95" s="120">
        <f>+N56</f>
        <v>0.8</v>
      </c>
      <c r="O95" s="140">
        <f t="shared" si="4"/>
        <v>6480.0000000000009</v>
      </c>
    </row>
    <row r="96" spans="2:15" ht="17.25" thickBot="1" x14ac:dyDescent="0.35">
      <c r="B96" s="42" t="s">
        <v>53</v>
      </c>
      <c r="G96" s="131"/>
      <c r="K96" s="120" t="s">
        <v>280</v>
      </c>
      <c r="L96" s="120" t="s">
        <v>42</v>
      </c>
      <c r="M96" s="138">
        <f>+L67</f>
        <v>806.40000000000009</v>
      </c>
      <c r="N96" s="120">
        <f>+N95</f>
        <v>0.8</v>
      </c>
      <c r="O96" s="140">
        <f t="shared" si="4"/>
        <v>645.12000000000012</v>
      </c>
    </row>
    <row r="97" spans="2:15" ht="17.25" thickBot="1" x14ac:dyDescent="0.35">
      <c r="D97" s="38" t="s">
        <v>54</v>
      </c>
      <c r="E97" s="41">
        <v>59.19</v>
      </c>
      <c r="F97" s="40" t="s">
        <v>40</v>
      </c>
      <c r="K97" s="120" t="s">
        <v>281</v>
      </c>
      <c r="L97" s="120" t="s">
        <v>281</v>
      </c>
      <c r="M97" s="138">
        <f>+L77</f>
        <v>1234.2857142857142</v>
      </c>
      <c r="N97" s="139">
        <f>+N77</f>
        <v>1.4388227513227514</v>
      </c>
      <c r="O97" s="140">
        <f t="shared" si="4"/>
        <v>1775.9183673469388</v>
      </c>
    </row>
    <row r="98" spans="2:15" x14ac:dyDescent="0.3">
      <c r="B98" s="43" t="s">
        <v>55</v>
      </c>
      <c r="C98" s="6"/>
      <c r="D98" s="6"/>
      <c r="E98" s="14"/>
      <c r="K98" s="120" t="s">
        <v>282</v>
      </c>
      <c r="L98" s="120" t="s">
        <v>288</v>
      </c>
      <c r="M98" s="138">
        <f>+M80</f>
        <v>571.02431690076378</v>
      </c>
      <c r="N98" s="141">
        <f>+N102</f>
        <v>1.8</v>
      </c>
      <c r="O98" s="140">
        <f t="shared" si="4"/>
        <v>1027.8437704213748</v>
      </c>
    </row>
    <row r="99" spans="2:15" x14ac:dyDescent="0.3">
      <c r="C99" s="74" t="s">
        <v>56</v>
      </c>
      <c r="D99" s="104">
        <f>E4</f>
        <v>8</v>
      </c>
      <c r="E99" s="74" t="s">
        <v>57</v>
      </c>
      <c r="K99" s="120" t="s">
        <v>283</v>
      </c>
      <c r="L99" s="120" t="s">
        <v>288</v>
      </c>
      <c r="M99" s="138">
        <f>+Q80</f>
        <v>183.99672433469055</v>
      </c>
      <c r="N99" s="141">
        <f>+N102</f>
        <v>1.8</v>
      </c>
      <c r="O99" s="140">
        <f t="shared" si="4"/>
        <v>331.19410380244301</v>
      </c>
    </row>
    <row r="100" spans="2:15" x14ac:dyDescent="0.3">
      <c r="C100" s="74" t="s">
        <v>58</v>
      </c>
      <c r="D100" s="104">
        <f>E24</f>
        <v>7.2</v>
      </c>
      <c r="E100" s="74" t="s">
        <v>57</v>
      </c>
      <c r="K100" s="120" t="s">
        <v>284</v>
      </c>
      <c r="L100" s="120" t="s">
        <v>290</v>
      </c>
      <c r="M100" s="138">
        <f>+M83</f>
        <v>5000</v>
      </c>
      <c r="N100" s="120">
        <f>+N95</f>
        <v>0.8</v>
      </c>
      <c r="O100" s="140">
        <f t="shared" si="4"/>
        <v>4000</v>
      </c>
    </row>
    <row r="101" spans="2:15" x14ac:dyDescent="0.3">
      <c r="C101" s="74" t="s">
        <v>38</v>
      </c>
      <c r="D101" s="104">
        <f>E32</f>
        <v>7.5000000000000009</v>
      </c>
      <c r="E101" s="74" t="s">
        <v>57</v>
      </c>
      <c r="K101" s="120" t="s">
        <v>285</v>
      </c>
      <c r="L101" s="120" t="s">
        <v>289</v>
      </c>
      <c r="M101" s="138">
        <f>+M87</f>
        <v>384</v>
      </c>
      <c r="N101" s="133">
        <f>+N94</f>
        <v>1.6500000000000001</v>
      </c>
      <c r="O101" s="140">
        <f t="shared" si="4"/>
        <v>633.6</v>
      </c>
    </row>
    <row r="102" spans="2:15" x14ac:dyDescent="0.3">
      <c r="C102" s="74" t="s">
        <v>59</v>
      </c>
      <c r="D102" s="131">
        <v>2</v>
      </c>
      <c r="K102" s="120" t="s">
        <v>286</v>
      </c>
      <c r="L102" s="120" t="s">
        <v>289</v>
      </c>
      <c r="M102" s="138">
        <f>+M89</f>
        <v>380.68287793384258</v>
      </c>
      <c r="N102" s="141">
        <f>+N27</f>
        <v>1.8</v>
      </c>
      <c r="O102" s="140">
        <f t="shared" si="4"/>
        <v>685.22918028091669</v>
      </c>
    </row>
    <row r="103" spans="2:15" x14ac:dyDescent="0.3">
      <c r="K103" s="118" t="s">
        <v>287</v>
      </c>
      <c r="L103" s="118"/>
      <c r="M103" s="142">
        <f>+SUM(M93:M102)</f>
        <v>24536.789633455013</v>
      </c>
      <c r="N103" s="118"/>
      <c r="O103" s="142">
        <f>+SUM(O93:O102)</f>
        <v>23352.065421851672</v>
      </c>
    </row>
    <row r="104" spans="2:15" x14ac:dyDescent="0.3">
      <c r="B104" s="15" t="s">
        <v>60</v>
      </c>
      <c r="C104" s="15"/>
    </row>
    <row r="105" spans="2:15" x14ac:dyDescent="0.3">
      <c r="C105" s="35" t="s">
        <v>61</v>
      </c>
      <c r="D105" s="35"/>
      <c r="E105" s="44" t="s">
        <v>62</v>
      </c>
      <c r="F105" s="44" t="s">
        <v>63</v>
      </c>
      <c r="K105" s="16" t="s">
        <v>291</v>
      </c>
      <c r="L105" s="16"/>
      <c r="M105" s="16"/>
    </row>
    <row r="106" spans="2:15" x14ac:dyDescent="0.3">
      <c r="C106" s="74" t="s">
        <v>64</v>
      </c>
      <c r="D106" s="45">
        <f>0.25+(0.42*(SQRT(D99*D101)))</f>
        <v>3.5033060108142302</v>
      </c>
      <c r="E106" s="44" t="s">
        <v>62</v>
      </c>
      <c r="F106" s="74">
        <f>D101/D102</f>
        <v>3.7500000000000004</v>
      </c>
      <c r="G106" s="46" t="s">
        <v>3</v>
      </c>
    </row>
    <row r="107" spans="2:15" x14ac:dyDescent="0.3">
      <c r="B107" s="13" t="s">
        <v>65</v>
      </c>
      <c r="C107" s="13"/>
      <c r="D107" s="13"/>
    </row>
    <row r="108" spans="2:15" x14ac:dyDescent="0.3">
      <c r="B108" s="47" t="s">
        <v>66</v>
      </c>
      <c r="C108" s="75"/>
      <c r="D108" s="75"/>
      <c r="E108" s="44" t="s">
        <v>62</v>
      </c>
      <c r="F108" s="44" t="s">
        <v>63</v>
      </c>
    </row>
    <row r="109" spans="2:15" x14ac:dyDescent="0.3">
      <c r="C109" s="74" t="s">
        <v>64</v>
      </c>
      <c r="D109" s="86">
        <f>2.1+0.12*(SQRT(D99*D101))</f>
        <v>3.0295160030897801</v>
      </c>
      <c r="E109" s="44" t="s">
        <v>62</v>
      </c>
      <c r="F109" s="74">
        <f>D101/D102</f>
        <v>3.7500000000000004</v>
      </c>
      <c r="G109" s="46" t="s">
        <v>3</v>
      </c>
    </row>
    <row r="110" spans="2:15" ht="17.25" thickBot="1" x14ac:dyDescent="0.35">
      <c r="B110" s="13" t="s">
        <v>67</v>
      </c>
      <c r="E110" s="44"/>
    </row>
    <row r="111" spans="2:15" ht="17.25" thickBot="1" x14ac:dyDescent="0.35">
      <c r="D111" s="38" t="s">
        <v>68</v>
      </c>
      <c r="E111" s="41">
        <f>+MIN(D106,D109)</f>
        <v>3.0295160030897801</v>
      </c>
      <c r="F111" s="40" t="s">
        <v>3</v>
      </c>
    </row>
    <row r="112" spans="2:15" ht="17.25" thickBot="1" x14ac:dyDescent="0.35">
      <c r="B112" s="42" t="s">
        <v>53</v>
      </c>
    </row>
    <row r="113" spans="2:6" ht="17.25" thickBot="1" x14ac:dyDescent="0.35">
      <c r="D113" s="38" t="s">
        <v>54</v>
      </c>
      <c r="E113" s="41">
        <f>+E97/E111</f>
        <v>19.537774330827951</v>
      </c>
      <c r="F113" s="40" t="s">
        <v>40</v>
      </c>
    </row>
    <row r="116" spans="2:6" x14ac:dyDescent="0.3">
      <c r="B116" s="6" t="s">
        <v>69</v>
      </c>
      <c r="C116" s="6"/>
      <c r="D116" s="6"/>
    </row>
    <row r="117" spans="2:6" x14ac:dyDescent="0.3">
      <c r="B117" s="48" t="s">
        <v>70</v>
      </c>
      <c r="C117" s="48"/>
      <c r="D117" s="48"/>
      <c r="E117" s="48"/>
      <c r="F117" s="48"/>
    </row>
    <row r="118" spans="2:6" x14ac:dyDescent="0.3">
      <c r="B118" s="49" t="s">
        <v>71</v>
      </c>
      <c r="C118" s="49" t="s">
        <v>72</v>
      </c>
      <c r="D118" s="50" t="s">
        <v>73</v>
      </c>
      <c r="E118" s="143"/>
      <c r="F118" s="144"/>
    </row>
    <row r="119" spans="2:6" x14ac:dyDescent="0.3">
      <c r="B119" s="51"/>
      <c r="C119" s="51"/>
      <c r="D119" s="52" t="s">
        <v>74</v>
      </c>
      <c r="E119" s="52" t="s">
        <v>75</v>
      </c>
      <c r="F119" s="52" t="s">
        <v>76</v>
      </c>
    </row>
    <row r="120" spans="2:6" x14ac:dyDescent="0.3">
      <c r="B120" s="52" t="s">
        <v>33</v>
      </c>
      <c r="C120" s="133">
        <f>+E38</f>
        <v>8.64</v>
      </c>
      <c r="D120" s="120">
        <v>1.25</v>
      </c>
      <c r="E120" s="120">
        <v>1</v>
      </c>
      <c r="F120" s="120">
        <v>0</v>
      </c>
    </row>
    <row r="121" spans="2:6" x14ac:dyDescent="0.3">
      <c r="B121" s="52" t="s">
        <v>42</v>
      </c>
      <c r="C121" s="133">
        <f>+E52</f>
        <v>0.89600000000000013</v>
      </c>
      <c r="D121" s="120">
        <v>1.5</v>
      </c>
      <c r="E121" s="120">
        <v>1</v>
      </c>
      <c r="F121" s="120">
        <v>0</v>
      </c>
    </row>
    <row r="122" spans="2:6" x14ac:dyDescent="0.3">
      <c r="B122" s="52" t="s">
        <v>77</v>
      </c>
      <c r="C122" s="133">
        <f>+E113</f>
        <v>19.537774330827951</v>
      </c>
      <c r="D122" s="120">
        <v>1.75</v>
      </c>
      <c r="E122" s="120">
        <v>1</v>
      </c>
      <c r="F122" s="120">
        <v>1.5</v>
      </c>
    </row>
    <row r="124" spans="2:6" x14ac:dyDescent="0.3">
      <c r="B124" s="22" t="s">
        <v>78</v>
      </c>
      <c r="C124" s="22"/>
    </row>
    <row r="125" spans="2:6" x14ac:dyDescent="0.3">
      <c r="E125" s="77" t="s">
        <v>79</v>
      </c>
      <c r="F125" s="145">
        <v>1</v>
      </c>
    </row>
    <row r="126" spans="2:6" x14ac:dyDescent="0.3">
      <c r="E126" s="77" t="s">
        <v>80</v>
      </c>
      <c r="F126" s="145">
        <v>1</v>
      </c>
    </row>
    <row r="127" spans="2:6" x14ac:dyDescent="0.3">
      <c r="E127" s="77" t="s">
        <v>81</v>
      </c>
      <c r="F127" s="145">
        <v>1</v>
      </c>
    </row>
    <row r="128" spans="2:6" x14ac:dyDescent="0.3">
      <c r="D128" s="146" t="s">
        <v>82</v>
      </c>
      <c r="E128" s="146"/>
    </row>
    <row r="129" spans="2:6" x14ac:dyDescent="0.3">
      <c r="D129" s="11" t="s">
        <v>83</v>
      </c>
      <c r="E129" s="53">
        <f>F125*F126*F127</f>
        <v>1</v>
      </c>
    </row>
    <row r="130" spans="2:6" x14ac:dyDescent="0.3">
      <c r="B130" s="54" t="s">
        <v>84</v>
      </c>
      <c r="C130" s="54"/>
      <c r="D130" s="54"/>
    </row>
    <row r="131" spans="2:6" x14ac:dyDescent="0.3">
      <c r="C131" s="146" t="s">
        <v>85</v>
      </c>
      <c r="D131" s="146"/>
      <c r="E131" s="146"/>
      <c r="F131" s="146"/>
    </row>
    <row r="132" spans="2:6" x14ac:dyDescent="0.3">
      <c r="D132" s="55" t="s">
        <v>86</v>
      </c>
      <c r="E132" s="56">
        <f>E129*((1.25*C120)+(1.5*C121)+(1.75*C122))</f>
        <v>46.335105078948914</v>
      </c>
      <c r="F132" s="57" t="s">
        <v>40</v>
      </c>
    </row>
    <row r="134" spans="2:6" x14ac:dyDescent="0.3">
      <c r="B134" s="58" t="s">
        <v>87</v>
      </c>
      <c r="C134" s="58"/>
      <c r="D134" s="58"/>
      <c r="E134" s="58"/>
      <c r="F134" s="58"/>
    </row>
    <row r="135" spans="2:6" x14ac:dyDescent="0.3">
      <c r="B135" s="46" t="s">
        <v>88</v>
      </c>
    </row>
    <row r="136" spans="2:6" x14ac:dyDescent="0.3">
      <c r="B136" s="46" t="s">
        <v>89</v>
      </c>
    </row>
    <row r="137" spans="2:6" x14ac:dyDescent="0.3">
      <c r="B137" s="59" t="s">
        <v>90</v>
      </c>
      <c r="C137" s="105">
        <f>2.5+(2.54/2)</f>
        <v>3.77</v>
      </c>
    </row>
    <row r="138" spans="2:6" x14ac:dyDescent="0.3">
      <c r="B138" s="59" t="s">
        <v>91</v>
      </c>
      <c r="C138" s="108">
        <f>+E20*100-C137</f>
        <v>41.23</v>
      </c>
    </row>
    <row r="139" spans="2:6" x14ac:dyDescent="0.3">
      <c r="B139" s="59" t="s">
        <v>92</v>
      </c>
      <c r="C139" s="105">
        <v>5</v>
      </c>
    </row>
    <row r="140" spans="2:6" x14ac:dyDescent="0.3">
      <c r="B140" s="59" t="s">
        <v>93</v>
      </c>
      <c r="C140" s="147">
        <f>+$C$144*$E$10/(0.85*$E$9*100)</f>
        <v>5.5852573502529923</v>
      </c>
    </row>
    <row r="141" spans="2:6" x14ac:dyDescent="0.3">
      <c r="B141" s="59" t="s">
        <v>94</v>
      </c>
      <c r="C141" s="147">
        <f>+$C$144*$E$10/(0.85*$E$9*100)</f>
        <v>5.5852573502529923</v>
      </c>
      <c r="D141" s="46" t="s">
        <v>95</v>
      </c>
    </row>
    <row r="142" spans="2:6" x14ac:dyDescent="0.3">
      <c r="B142" s="59"/>
      <c r="C142" s="147"/>
    </row>
    <row r="143" spans="2:6" x14ac:dyDescent="0.3">
      <c r="B143" s="148" t="s">
        <v>96</v>
      </c>
      <c r="C143" s="148"/>
      <c r="D143" s="148"/>
      <c r="E143" s="148"/>
    </row>
    <row r="144" spans="2:6" x14ac:dyDescent="0.3">
      <c r="B144" s="77" t="s">
        <v>97</v>
      </c>
      <c r="C144" s="86">
        <f>($E$132*10^5)/(0.9*$E$10*($C$138-$C$139/2))</f>
        <v>31.649791651433624</v>
      </c>
      <c r="D144" s="74" t="s">
        <v>301</v>
      </c>
    </row>
    <row r="145" spans="2:8" x14ac:dyDescent="0.3">
      <c r="B145" s="77" t="s">
        <v>97</v>
      </c>
      <c r="C145" s="86">
        <f>($E$132*10^5)/(0.9*$E$10*($C$138-$C$140/2))</f>
        <v>31.890745605352819</v>
      </c>
      <c r="D145" s="46" t="s">
        <v>98</v>
      </c>
      <c r="E145" s="22" t="s">
        <v>99</v>
      </c>
      <c r="F145" s="60">
        <f>+C145</f>
        <v>31.890745605352819</v>
      </c>
      <c r="G145" s="22" t="s">
        <v>100</v>
      </c>
    </row>
    <row r="146" spans="2:8" x14ac:dyDescent="0.3">
      <c r="B146" s="77"/>
      <c r="C146" s="86"/>
      <c r="D146" s="46"/>
      <c r="E146" s="22"/>
      <c r="F146" s="60"/>
      <c r="G146" s="22"/>
    </row>
    <row r="147" spans="2:8" x14ac:dyDescent="0.3">
      <c r="B147" s="131"/>
      <c r="C147" s="149" t="s">
        <v>101</v>
      </c>
      <c r="D147" s="149"/>
      <c r="E147" s="145" t="s">
        <v>102</v>
      </c>
      <c r="F147" s="145" t="s">
        <v>103</v>
      </c>
      <c r="G147" s="145" t="s">
        <v>104</v>
      </c>
    </row>
    <row r="148" spans="2:8" ht="12" customHeight="1" x14ac:dyDescent="0.3">
      <c r="B148" s="131"/>
      <c r="C148" s="150" t="s">
        <v>105</v>
      </c>
      <c r="D148" s="150" t="s">
        <v>106</v>
      </c>
      <c r="E148" s="150" t="s">
        <v>107</v>
      </c>
      <c r="F148" s="150" t="s">
        <v>108</v>
      </c>
      <c r="G148" s="150" t="s">
        <v>301</v>
      </c>
    </row>
    <row r="149" spans="2:8" ht="12" customHeight="1" x14ac:dyDescent="0.3">
      <c r="B149" s="52" t="s">
        <v>306</v>
      </c>
      <c r="C149" s="151">
        <v>0.25</v>
      </c>
      <c r="D149" s="134">
        <v>0.36499999999999999</v>
      </c>
      <c r="E149" s="120">
        <v>2</v>
      </c>
      <c r="F149" s="133">
        <v>0.25</v>
      </c>
      <c r="G149" s="133">
        <v>0.32</v>
      </c>
    </row>
    <row r="150" spans="2:8" ht="12" customHeight="1" x14ac:dyDescent="0.3">
      <c r="B150" s="52" t="s">
        <v>307</v>
      </c>
      <c r="C150" s="151">
        <v>0.375</v>
      </c>
      <c r="D150" s="134">
        <v>0.95299999999999996</v>
      </c>
      <c r="E150" s="120">
        <v>3</v>
      </c>
      <c r="F150" s="133">
        <v>0.56000000000000005</v>
      </c>
      <c r="G150" s="133">
        <v>0.71</v>
      </c>
    </row>
    <row r="151" spans="2:8" ht="12" customHeight="1" x14ac:dyDescent="0.3">
      <c r="B151" s="52" t="s">
        <v>308</v>
      </c>
      <c r="C151" s="151">
        <v>0.5</v>
      </c>
      <c r="D151" s="133">
        <v>1.27</v>
      </c>
      <c r="E151" s="120">
        <v>4</v>
      </c>
      <c r="F151" s="133">
        <v>0.99399999999999999</v>
      </c>
      <c r="G151" s="133">
        <v>1.29</v>
      </c>
    </row>
    <row r="152" spans="2:8" ht="12" customHeight="1" x14ac:dyDescent="0.3">
      <c r="B152" s="52" t="s">
        <v>309</v>
      </c>
      <c r="C152" s="151">
        <v>0.625</v>
      </c>
      <c r="D152" s="134">
        <v>1.587</v>
      </c>
      <c r="E152" s="120">
        <v>5</v>
      </c>
      <c r="F152" s="133">
        <v>1.552</v>
      </c>
      <c r="G152" s="133">
        <v>1.99</v>
      </c>
    </row>
    <row r="153" spans="2:8" ht="12" customHeight="1" x14ac:dyDescent="0.3">
      <c r="B153" s="52" t="s">
        <v>310</v>
      </c>
      <c r="C153" s="151">
        <v>0.75</v>
      </c>
      <c r="D153" s="134">
        <v>1.905</v>
      </c>
      <c r="E153" s="120">
        <v>6</v>
      </c>
      <c r="F153" s="133">
        <v>2.2349999999999999</v>
      </c>
      <c r="G153" s="133">
        <v>2.84</v>
      </c>
    </row>
    <row r="154" spans="2:8" ht="12" customHeight="1" x14ac:dyDescent="0.3">
      <c r="B154" s="52" t="s">
        <v>311</v>
      </c>
      <c r="C154" s="152">
        <v>1</v>
      </c>
      <c r="D154" s="133">
        <v>2.54</v>
      </c>
      <c r="E154" s="120">
        <v>8</v>
      </c>
      <c r="F154" s="133">
        <v>3.9729999999999999</v>
      </c>
      <c r="G154" s="133">
        <v>5.0999999999999996</v>
      </c>
    </row>
    <row r="155" spans="2:8" ht="12" customHeight="1" x14ac:dyDescent="0.3">
      <c r="B155" s="52" t="s">
        <v>312</v>
      </c>
      <c r="C155" s="151">
        <v>1.375</v>
      </c>
      <c r="D155" s="134">
        <v>3.581</v>
      </c>
      <c r="E155" s="120">
        <v>11.2</v>
      </c>
      <c r="F155" s="133">
        <v>7.907</v>
      </c>
      <c r="G155" s="133">
        <v>10.06</v>
      </c>
    </row>
    <row r="156" spans="2:8" x14ac:dyDescent="0.3">
      <c r="D156" s="131"/>
      <c r="G156" s="131"/>
    </row>
    <row r="157" spans="2:8" x14ac:dyDescent="0.3">
      <c r="B157" s="85" t="s">
        <v>109</v>
      </c>
      <c r="C157" s="153"/>
      <c r="D157" s="154">
        <v>1</v>
      </c>
      <c r="E157" s="74" t="s">
        <v>110</v>
      </c>
      <c r="F157" s="77" t="s">
        <v>111</v>
      </c>
      <c r="G157" s="104">
        <v>5.0999999999999996</v>
      </c>
      <c r="H157" s="74" t="s">
        <v>100</v>
      </c>
    </row>
    <row r="158" spans="2:8" x14ac:dyDescent="0.3">
      <c r="B158" s="85" t="s">
        <v>112</v>
      </c>
      <c r="C158" s="85"/>
      <c r="D158" s="104">
        <f>+G157/F145</f>
        <v>0.15992100225916234</v>
      </c>
      <c r="E158" s="46" t="s">
        <v>113</v>
      </c>
      <c r="G158" s="131"/>
    </row>
    <row r="159" spans="2:8" ht="17.25" thickBot="1" x14ac:dyDescent="0.35">
      <c r="B159" s="85" t="s">
        <v>114</v>
      </c>
      <c r="C159" s="153"/>
      <c r="D159" s="145">
        <v>15</v>
      </c>
      <c r="E159" s="74" t="s">
        <v>107</v>
      </c>
      <c r="F159" s="77" t="s">
        <v>115</v>
      </c>
      <c r="G159" s="155">
        <f>+G157/(D159/100)</f>
        <v>34</v>
      </c>
      <c r="H159" s="74" t="s">
        <v>100</v>
      </c>
    </row>
    <row r="160" spans="2:8" x14ac:dyDescent="0.3">
      <c r="C160" s="61" t="s">
        <v>116</v>
      </c>
      <c r="D160" s="62">
        <f>D157</f>
        <v>1</v>
      </c>
      <c r="E160" s="63" t="s">
        <v>117</v>
      </c>
      <c r="F160" s="64">
        <f>D159</f>
        <v>15</v>
      </c>
      <c r="G160" s="65" t="s">
        <v>107</v>
      </c>
    </row>
    <row r="161" spans="2:8" ht="17.25" thickBot="1" x14ac:dyDescent="0.35">
      <c r="C161" s="66"/>
      <c r="D161" s="67"/>
      <c r="E161" s="68"/>
      <c r="F161" s="67"/>
      <c r="G161" s="69"/>
    </row>
    <row r="163" spans="2:8" x14ac:dyDescent="0.3">
      <c r="B163" s="58" t="s">
        <v>118</v>
      </c>
      <c r="C163" s="58"/>
      <c r="D163" s="58"/>
    </row>
    <row r="164" spans="2:8" x14ac:dyDescent="0.3">
      <c r="B164" s="70" t="s">
        <v>119</v>
      </c>
      <c r="C164" s="70"/>
      <c r="D164" s="104">
        <f>(5*$E$4)/SQRT($E$4)</f>
        <v>14.142135623730949</v>
      </c>
      <c r="E164" s="74" t="s">
        <v>120</v>
      </c>
      <c r="F164" s="131" t="s">
        <v>121</v>
      </c>
      <c r="G164" s="156">
        <v>0.5</v>
      </c>
      <c r="H164" s="44" t="s">
        <v>122</v>
      </c>
    </row>
    <row r="165" spans="2:8" x14ac:dyDescent="0.3">
      <c r="C165" s="11" t="s">
        <v>123</v>
      </c>
      <c r="D165" s="53">
        <f>D164*(F145/100)</f>
        <v>4.5100324949280139</v>
      </c>
      <c r="E165" s="22" t="s">
        <v>100</v>
      </c>
    </row>
    <row r="167" spans="2:8" x14ac:dyDescent="0.3">
      <c r="B167" s="85" t="s">
        <v>109</v>
      </c>
      <c r="C167" s="153"/>
      <c r="D167" s="154">
        <v>0.625</v>
      </c>
      <c r="E167" s="74" t="s">
        <v>110</v>
      </c>
      <c r="F167" s="77" t="s">
        <v>111</v>
      </c>
      <c r="G167" s="104">
        <v>1.99</v>
      </c>
      <c r="H167" s="74" t="s">
        <v>100</v>
      </c>
    </row>
    <row r="168" spans="2:8" x14ac:dyDescent="0.3">
      <c r="B168" s="85" t="s">
        <v>112</v>
      </c>
      <c r="C168" s="85"/>
      <c r="D168" s="104">
        <f>+G167/D165</f>
        <v>0.44123850598370534</v>
      </c>
      <c r="E168" s="46" t="s">
        <v>113</v>
      </c>
      <c r="G168" s="131"/>
    </row>
    <row r="169" spans="2:8" ht="17.25" thickBot="1" x14ac:dyDescent="0.35">
      <c r="B169" s="85" t="s">
        <v>114</v>
      </c>
      <c r="C169" s="153"/>
      <c r="D169" s="145">
        <v>30</v>
      </c>
      <c r="E169" s="74" t="s">
        <v>107</v>
      </c>
      <c r="F169" s="77" t="s">
        <v>115</v>
      </c>
      <c r="G169" s="155">
        <f>+G167/(D169/100)</f>
        <v>6.6333333333333337</v>
      </c>
      <c r="H169" s="74" t="s">
        <v>100</v>
      </c>
    </row>
    <row r="170" spans="2:8" x14ac:dyDescent="0.3">
      <c r="C170" s="61" t="s">
        <v>116</v>
      </c>
      <c r="D170" s="62">
        <f>D167</f>
        <v>0.625</v>
      </c>
      <c r="E170" s="63" t="s">
        <v>117</v>
      </c>
      <c r="F170" s="64">
        <f>D169</f>
        <v>30</v>
      </c>
      <c r="G170" s="65" t="s">
        <v>107</v>
      </c>
    </row>
    <row r="171" spans="2:8" ht="17.25" thickBot="1" x14ac:dyDescent="0.35">
      <c r="C171" s="66"/>
      <c r="D171" s="67"/>
      <c r="E171" s="68"/>
      <c r="F171" s="67"/>
      <c r="G171" s="69"/>
    </row>
    <row r="174" spans="2:8" x14ac:dyDescent="0.3">
      <c r="B174" s="58" t="s">
        <v>124</v>
      </c>
      <c r="C174" s="58"/>
      <c r="D174" s="58"/>
    </row>
    <row r="175" spans="2:8" x14ac:dyDescent="0.3">
      <c r="B175" s="19" t="s">
        <v>125</v>
      </c>
      <c r="C175" s="19"/>
      <c r="D175" s="53">
        <f>0.18*D100*100*E20*100/(2*(D100*100+E20*100))</f>
        <v>3.8117647058823527</v>
      </c>
      <c r="E175" s="22" t="s">
        <v>100</v>
      </c>
      <c r="F175" s="46" t="s">
        <v>126</v>
      </c>
    </row>
    <row r="176" spans="2:8" x14ac:dyDescent="0.3">
      <c r="D176" s="131"/>
    </row>
    <row r="177" spans="1:8" x14ac:dyDescent="0.3">
      <c r="B177" s="85" t="s">
        <v>109</v>
      </c>
      <c r="C177" s="153"/>
      <c r="D177" s="154">
        <v>0.5</v>
      </c>
      <c r="E177" s="74" t="s">
        <v>110</v>
      </c>
      <c r="F177" s="77" t="s">
        <v>111</v>
      </c>
      <c r="G177" s="86">
        <v>1.29</v>
      </c>
      <c r="H177" s="74" t="s">
        <v>100</v>
      </c>
    </row>
    <row r="178" spans="1:8" x14ac:dyDescent="0.3">
      <c r="B178" s="85" t="s">
        <v>112</v>
      </c>
      <c r="C178" s="85"/>
      <c r="D178" s="104">
        <f>+(G177/D175)</f>
        <v>0.33842592592592596</v>
      </c>
      <c r="E178" s="74" t="s">
        <v>107</v>
      </c>
    </row>
    <row r="179" spans="1:8" x14ac:dyDescent="0.3">
      <c r="C179" s="59" t="s">
        <v>127</v>
      </c>
      <c r="D179" s="131">
        <f>3*E20*100</f>
        <v>135</v>
      </c>
      <c r="E179" s="74" t="s">
        <v>107</v>
      </c>
    </row>
    <row r="180" spans="1:8" x14ac:dyDescent="0.3">
      <c r="C180" s="59" t="s">
        <v>128</v>
      </c>
      <c r="D180" s="131">
        <f>+E20*100</f>
        <v>45</v>
      </c>
      <c r="E180" s="74" t="s">
        <v>107</v>
      </c>
    </row>
    <row r="181" spans="1:8" ht="17.25" thickBot="1" x14ac:dyDescent="0.35">
      <c r="B181" s="85" t="s">
        <v>114</v>
      </c>
      <c r="C181" s="153"/>
      <c r="D181" s="157">
        <v>30</v>
      </c>
      <c r="E181" s="74" t="s">
        <v>107</v>
      </c>
      <c r="F181" s="77" t="s">
        <v>115</v>
      </c>
      <c r="G181" s="155">
        <f>+G177/(D181/100)</f>
        <v>4.3000000000000007</v>
      </c>
      <c r="H181" s="74" t="s">
        <v>100</v>
      </c>
    </row>
    <row r="182" spans="1:8" x14ac:dyDescent="0.3">
      <c r="C182" s="61" t="s">
        <v>116</v>
      </c>
      <c r="D182" s="62">
        <f>D177</f>
        <v>0.5</v>
      </c>
      <c r="E182" s="63" t="s">
        <v>117</v>
      </c>
      <c r="F182" s="64">
        <f>D181</f>
        <v>30</v>
      </c>
      <c r="G182" s="65" t="s">
        <v>107</v>
      </c>
    </row>
    <row r="183" spans="1:8" ht="17.25" thickBot="1" x14ac:dyDescent="0.35">
      <c r="C183" s="66"/>
      <c r="D183" s="67"/>
      <c r="E183" s="68"/>
      <c r="F183" s="67"/>
      <c r="G183" s="69"/>
    </row>
    <row r="185" spans="1:8" x14ac:dyDescent="0.3">
      <c r="B185" s="6" t="s">
        <v>132</v>
      </c>
    </row>
    <row r="186" spans="1:8" x14ac:dyDescent="0.3">
      <c r="B186" s="58" t="s">
        <v>87</v>
      </c>
      <c r="C186" s="58"/>
      <c r="D186" s="58"/>
      <c r="E186" s="58"/>
      <c r="F186" s="58"/>
    </row>
    <row r="187" spans="1:8" ht="15" x14ac:dyDescent="0.25">
      <c r="A187" s="54" t="s">
        <v>133</v>
      </c>
      <c r="B187" s="54"/>
      <c r="C187" s="54"/>
    </row>
    <row r="188" spans="1:8" ht="15" x14ac:dyDescent="0.25">
      <c r="A188" s="22"/>
      <c r="B188" s="22"/>
      <c r="C188" s="22"/>
    </row>
    <row r="189" spans="1:8" x14ac:dyDescent="0.3">
      <c r="B189" s="13" t="s">
        <v>161</v>
      </c>
    </row>
    <row r="190" spans="1:8" x14ac:dyDescent="0.3">
      <c r="B190" s="71" t="s">
        <v>134</v>
      </c>
      <c r="C190" s="146"/>
      <c r="D190" s="146"/>
      <c r="E190" s="146"/>
    </row>
    <row r="192" spans="1:8" x14ac:dyDescent="0.3">
      <c r="C192" s="55" t="s">
        <v>135</v>
      </c>
      <c r="D192" s="72">
        <f>+E38+E52+E113</f>
        <v>29.073774330827952</v>
      </c>
      <c r="E192" s="57" t="s">
        <v>136</v>
      </c>
    </row>
    <row r="194" spans="2:7" x14ac:dyDescent="0.3">
      <c r="B194" s="46" t="s">
        <v>137</v>
      </c>
    </row>
    <row r="195" spans="2:7" x14ac:dyDescent="0.3">
      <c r="C195" s="55" t="s">
        <v>135</v>
      </c>
      <c r="D195" s="72">
        <f>+D192*F160/100</f>
        <v>4.3610661496241923</v>
      </c>
      <c r="E195" s="57" t="s">
        <v>136</v>
      </c>
    </row>
    <row r="197" spans="2:7" x14ac:dyDescent="0.3">
      <c r="B197" s="13" t="s">
        <v>160</v>
      </c>
    </row>
    <row r="198" spans="2:7" x14ac:dyDescent="0.3">
      <c r="B198" s="70" t="s">
        <v>138</v>
      </c>
      <c r="C198" s="70"/>
      <c r="D198" s="131">
        <f>2.04*10^6</f>
        <v>2040000</v>
      </c>
      <c r="E198" s="46" t="s">
        <v>139</v>
      </c>
    </row>
    <row r="199" spans="2:7" x14ac:dyDescent="0.3">
      <c r="B199" s="70" t="s">
        <v>140</v>
      </c>
      <c r="C199" s="70"/>
      <c r="D199" s="74">
        <f>15300*SQRT((E9))</f>
        <v>256017.96811942713</v>
      </c>
      <c r="E199" s="46" t="s">
        <v>139</v>
      </c>
    </row>
    <row r="200" spans="2:7" x14ac:dyDescent="0.3">
      <c r="C200" s="77" t="s">
        <v>141</v>
      </c>
      <c r="D200" s="158">
        <f>+D198/D199</f>
        <v>7.9681907288959577</v>
      </c>
    </row>
    <row r="201" spans="2:7" x14ac:dyDescent="0.3">
      <c r="C201" s="59" t="s">
        <v>142</v>
      </c>
      <c r="D201" s="131">
        <f>2.5+2.54/2</f>
        <v>3.77</v>
      </c>
    </row>
    <row r="207" spans="2:7" x14ac:dyDescent="0.3">
      <c r="F207" s="77"/>
      <c r="G207" s="86"/>
    </row>
    <row r="209" spans="2:10" x14ac:dyDescent="0.3">
      <c r="B209" s="74" t="s">
        <v>143</v>
      </c>
      <c r="E209" s="77"/>
      <c r="F209" s="77"/>
      <c r="G209" s="77"/>
      <c r="H209" s="159">
        <f>+ROUND(D200,0)*G154</f>
        <v>40.799999999999997</v>
      </c>
    </row>
    <row r="210" spans="2:10" x14ac:dyDescent="0.3">
      <c r="B210" s="74" t="s">
        <v>144</v>
      </c>
      <c r="E210" s="77"/>
      <c r="F210" s="77"/>
      <c r="G210" s="77"/>
    </row>
    <row r="211" spans="2:10" x14ac:dyDescent="0.3">
      <c r="E211" s="77"/>
      <c r="F211" s="77"/>
      <c r="G211" s="77"/>
    </row>
    <row r="212" spans="2:10" x14ac:dyDescent="0.3">
      <c r="C212" s="77" t="s">
        <v>146</v>
      </c>
      <c r="D212" s="74" t="s">
        <v>145</v>
      </c>
      <c r="E212" s="77"/>
      <c r="F212" s="77"/>
      <c r="G212" s="77"/>
    </row>
    <row r="213" spans="2:10" x14ac:dyDescent="0.3">
      <c r="C213" s="77" t="s">
        <v>152</v>
      </c>
      <c r="D213" s="115" t="s">
        <v>153</v>
      </c>
      <c r="G213" s="132"/>
    </row>
    <row r="214" spans="2:10" x14ac:dyDescent="0.3">
      <c r="C214" s="74" t="s">
        <v>313</v>
      </c>
      <c r="E214" s="77"/>
    </row>
    <row r="215" spans="2:10" x14ac:dyDescent="0.3">
      <c r="C215" s="160" t="s">
        <v>147</v>
      </c>
      <c r="D215" s="119" t="s">
        <v>148</v>
      </c>
      <c r="E215" s="121" t="s">
        <v>149</v>
      </c>
      <c r="F215" s="77"/>
      <c r="G215" s="77"/>
    </row>
    <row r="216" spans="2:10" x14ac:dyDescent="0.3">
      <c r="C216" s="133">
        <f>+G414/2</f>
        <v>7.5</v>
      </c>
      <c r="D216" s="133">
        <f>H209</f>
        <v>40.799999999999997</v>
      </c>
      <c r="E216" s="133">
        <f>-H209*(E20*100-D201)</f>
        <v>-1682.1839999999997</v>
      </c>
      <c r="F216" s="77"/>
      <c r="G216" s="132"/>
    </row>
    <row r="217" spans="2:10" x14ac:dyDescent="0.3">
      <c r="C217" s="77" t="s">
        <v>150</v>
      </c>
      <c r="D217" s="158">
        <f>-($D$216+SQRT(($D$216^2)-4*($C$216)*($E$216)))/(2*$C$216)</f>
        <v>-17.941353422084383</v>
      </c>
      <c r="E217" s="77"/>
      <c r="F217" s="77"/>
      <c r="G217" s="132"/>
    </row>
    <row r="218" spans="2:10" x14ac:dyDescent="0.3">
      <c r="C218" s="77" t="s">
        <v>151</v>
      </c>
      <c r="D218" s="161">
        <f>-($D$216-SQRT(($D$216^2)-4*($C$216)*($E$216)))/(2*$C$216)</f>
        <v>12.501353422084382</v>
      </c>
      <c r="E218" s="77"/>
      <c r="F218" s="77"/>
      <c r="G218" s="77"/>
    </row>
    <row r="219" spans="2:10" x14ac:dyDescent="0.3">
      <c r="C219" s="77"/>
      <c r="D219" s="161"/>
      <c r="E219" s="77"/>
      <c r="F219" s="77"/>
      <c r="G219" s="77"/>
    </row>
    <row r="220" spans="2:10" x14ac:dyDescent="0.3">
      <c r="B220" s="13" t="s">
        <v>154</v>
      </c>
    </row>
    <row r="221" spans="2:10" x14ac:dyDescent="0.3">
      <c r="B221" s="74" t="s">
        <v>155</v>
      </c>
    </row>
    <row r="222" spans="2:10" x14ac:dyDescent="0.3">
      <c r="B222" s="74" t="s">
        <v>156</v>
      </c>
      <c r="C222" s="162">
        <f>+E20*100-D201-(D218/3)</f>
        <v>37.06288219263854</v>
      </c>
    </row>
    <row r="223" spans="2:10" x14ac:dyDescent="0.3">
      <c r="I223" s="74" t="s">
        <v>95</v>
      </c>
      <c r="J223" s="74" t="b">
        <v>0</v>
      </c>
    </row>
    <row r="224" spans="2:10" x14ac:dyDescent="0.3">
      <c r="B224" s="74" t="s">
        <v>157</v>
      </c>
      <c r="E224" s="163">
        <f>+(D195*10^5)/(C222*G154)</f>
        <v>2307.1897249806348</v>
      </c>
      <c r="F224" s="131" t="s">
        <v>158</v>
      </c>
      <c r="G224" s="163">
        <f>0.6*E10</f>
        <v>2520</v>
      </c>
      <c r="H224" s="164" t="str">
        <f>+IF(E224&lt;G224,I223,J223)</f>
        <v>ok!</v>
      </c>
    </row>
    <row r="226" spans="2:7" x14ac:dyDescent="0.3">
      <c r="B226" s="13" t="s">
        <v>159</v>
      </c>
    </row>
    <row r="231" spans="2:7" x14ac:dyDescent="0.3">
      <c r="B231" s="77" t="s">
        <v>163</v>
      </c>
      <c r="C231" s="165">
        <f>+(125000*1/(G231*E224))-2*D201</f>
        <v>40.378994402414776</v>
      </c>
      <c r="D231" s="131" t="s">
        <v>164</v>
      </c>
      <c r="E231" s="105">
        <f>+G414</f>
        <v>15</v>
      </c>
      <c r="F231" s="77" t="s">
        <v>162</v>
      </c>
      <c r="G231" s="104">
        <f>1+D201/(0.7*(E20*100-D201))</f>
        <v>1.130626104431586</v>
      </c>
    </row>
    <row r="232" spans="2:7" x14ac:dyDescent="0.3">
      <c r="E232" s="164" t="str">
        <f>+IF(C231&gt;E231,I223,J223)</f>
        <v>ok!</v>
      </c>
    </row>
    <row r="234" spans="2:7" x14ac:dyDescent="0.3">
      <c r="B234" s="14" t="s">
        <v>165</v>
      </c>
    </row>
    <row r="235" spans="2:7" x14ac:dyDescent="0.3">
      <c r="B235" s="16" t="s">
        <v>169</v>
      </c>
      <c r="C235" s="16"/>
      <c r="D235" s="16"/>
    </row>
    <row r="236" spans="2:7" x14ac:dyDescent="0.3">
      <c r="B236" s="77" t="s">
        <v>166</v>
      </c>
      <c r="C236" s="166">
        <f>+C24+0.3+E111/4</f>
        <v>1.207379000772445</v>
      </c>
      <c r="D236" s="131" t="s">
        <v>158</v>
      </c>
      <c r="E236" s="166">
        <f>+E111/2</f>
        <v>1.51475800154489</v>
      </c>
      <c r="F236" s="74" t="s">
        <v>167</v>
      </c>
      <c r="G236" s="164" t="str">
        <f>+IF(C236&lt;E236,I223,J223)</f>
        <v>ok!</v>
      </c>
    </row>
    <row r="238" spans="2:7" x14ac:dyDescent="0.3">
      <c r="B238" s="6" t="s">
        <v>168</v>
      </c>
      <c r="C238" s="6"/>
      <c r="D238" s="6"/>
    </row>
    <row r="239" spans="2:7" x14ac:dyDescent="0.3">
      <c r="B239" s="107" t="s">
        <v>170</v>
      </c>
      <c r="E239" s="107" t="s">
        <v>175</v>
      </c>
    </row>
    <row r="240" spans="2:7" x14ac:dyDescent="0.3">
      <c r="B240" s="11" t="s">
        <v>171</v>
      </c>
      <c r="C240" s="104">
        <f>+$B$29*1*$G$12</f>
        <v>1.08</v>
      </c>
      <c r="D240" s="74" t="s">
        <v>35</v>
      </c>
      <c r="E240" s="22" t="s">
        <v>43</v>
      </c>
      <c r="F240" s="104">
        <f>+$H$27*1*$G$13*(C236-C24)/C236</f>
        <v>9.808556220602492E-2</v>
      </c>
      <c r="G240" s="74" t="s">
        <v>35</v>
      </c>
    </row>
    <row r="241" spans="2:7" x14ac:dyDescent="0.3">
      <c r="B241" s="11" t="s">
        <v>172</v>
      </c>
      <c r="C241" s="104">
        <f>+$B$26*$G$12/C236</f>
        <v>0.49694420692768215</v>
      </c>
      <c r="D241" s="74" t="s">
        <v>35</v>
      </c>
      <c r="E241" s="11" t="s">
        <v>176</v>
      </c>
      <c r="F241" s="167">
        <f>+(F240*F17^2)/8</f>
        <v>0.78468449764819936</v>
      </c>
      <c r="G241" s="74" t="s">
        <v>35</v>
      </c>
    </row>
    <row r="242" spans="2:7" x14ac:dyDescent="0.3">
      <c r="B242" s="11" t="s">
        <v>173</v>
      </c>
      <c r="C242" s="104">
        <f>+C240+C241</f>
        <v>1.5769442069276822</v>
      </c>
      <c r="D242" s="74" t="s">
        <v>35</v>
      </c>
    </row>
    <row r="243" spans="2:7" x14ac:dyDescent="0.3">
      <c r="B243" s="11" t="s">
        <v>174</v>
      </c>
      <c r="C243" s="167">
        <f>+(C242*F17^2)/8</f>
        <v>12.615553655421458</v>
      </c>
      <c r="D243" s="74" t="s">
        <v>35</v>
      </c>
    </row>
    <row r="245" spans="2:7" x14ac:dyDescent="0.3">
      <c r="B245" s="107" t="s">
        <v>177</v>
      </c>
    </row>
    <row r="246" spans="2:7" ht="17.25" thickBot="1" x14ac:dyDescent="0.35">
      <c r="B246" s="22" t="s">
        <v>300</v>
      </c>
      <c r="C246" s="22"/>
    </row>
    <row r="247" spans="2:7" ht="17.25" thickBot="1" x14ac:dyDescent="0.35">
      <c r="D247" s="38" t="s">
        <v>50</v>
      </c>
      <c r="E247" s="41">
        <v>38.81</v>
      </c>
      <c r="F247" s="40" t="s">
        <v>40</v>
      </c>
    </row>
    <row r="248" spans="2:7" x14ac:dyDescent="0.3">
      <c r="D248" s="11"/>
      <c r="E248" s="21"/>
      <c r="F248" s="22"/>
    </row>
    <row r="249" spans="2:7" ht="17.25" thickBot="1" x14ac:dyDescent="0.35">
      <c r="B249" s="42" t="s">
        <v>51</v>
      </c>
    </row>
    <row r="250" spans="2:7" ht="17.25" thickBot="1" x14ac:dyDescent="0.35">
      <c r="D250" s="38" t="s">
        <v>52</v>
      </c>
      <c r="E250" s="41">
        <v>7.57</v>
      </c>
      <c r="F250" s="40" t="s">
        <v>40</v>
      </c>
    </row>
    <row r="251" spans="2:7" x14ac:dyDescent="0.3">
      <c r="B251" s="11" t="s">
        <v>178</v>
      </c>
      <c r="C251" s="167">
        <f>+(0.5*E247*1.33+E250*(0.3+(C236-C24-0.3))/3)/C236</f>
        <v>23.585609539669996</v>
      </c>
      <c r="D251" s="74" t="s">
        <v>35</v>
      </c>
    </row>
    <row r="253" spans="2:7" x14ac:dyDescent="0.3">
      <c r="B253" s="6" t="s">
        <v>179</v>
      </c>
      <c r="C253" s="6"/>
      <c r="D253" s="6"/>
    </row>
    <row r="254" spans="2:7" x14ac:dyDescent="0.3">
      <c r="B254" s="6"/>
      <c r="C254" s="6"/>
      <c r="D254" s="6"/>
    </row>
    <row r="255" spans="2:7" x14ac:dyDescent="0.3">
      <c r="B255" s="48" t="s">
        <v>70</v>
      </c>
      <c r="C255" s="48"/>
      <c r="D255" s="48"/>
      <c r="E255" s="48"/>
      <c r="F255" s="48"/>
    </row>
    <row r="256" spans="2:7" x14ac:dyDescent="0.3">
      <c r="B256" s="49" t="s">
        <v>71</v>
      </c>
      <c r="C256" s="49" t="s">
        <v>72</v>
      </c>
      <c r="D256" s="50" t="s">
        <v>73</v>
      </c>
      <c r="E256" s="143"/>
      <c r="F256" s="144"/>
    </row>
    <row r="257" spans="2:6" x14ac:dyDescent="0.3">
      <c r="B257" s="51"/>
      <c r="C257" s="51"/>
      <c r="D257" s="52" t="s">
        <v>74</v>
      </c>
      <c r="E257" s="52" t="s">
        <v>75</v>
      </c>
      <c r="F257" s="52" t="s">
        <v>76</v>
      </c>
    </row>
    <row r="258" spans="2:6" x14ac:dyDescent="0.3">
      <c r="B258" s="52" t="s">
        <v>33</v>
      </c>
      <c r="C258" s="133">
        <f>+C243</f>
        <v>12.615553655421458</v>
      </c>
      <c r="D258" s="120">
        <v>1.25</v>
      </c>
      <c r="E258" s="120">
        <v>1</v>
      </c>
      <c r="F258" s="120">
        <v>0</v>
      </c>
    </row>
    <row r="259" spans="2:6" x14ac:dyDescent="0.3">
      <c r="B259" s="52" t="s">
        <v>42</v>
      </c>
      <c r="C259" s="133">
        <f>+F241</f>
        <v>0.78468449764819936</v>
      </c>
      <c r="D259" s="120">
        <v>1.5</v>
      </c>
      <c r="E259" s="120">
        <v>1</v>
      </c>
      <c r="F259" s="120">
        <v>0</v>
      </c>
    </row>
    <row r="260" spans="2:6" x14ac:dyDescent="0.3">
      <c r="B260" s="52" t="s">
        <v>77</v>
      </c>
      <c r="C260" s="133">
        <f>+C251</f>
        <v>23.585609539669996</v>
      </c>
      <c r="D260" s="120">
        <v>1.75</v>
      </c>
      <c r="E260" s="120">
        <v>1</v>
      </c>
      <c r="F260" s="120">
        <v>1.5</v>
      </c>
    </row>
    <row r="262" spans="2:6" x14ac:dyDescent="0.3">
      <c r="B262" s="22" t="s">
        <v>78</v>
      </c>
      <c r="C262" s="22"/>
    </row>
    <row r="263" spans="2:6" x14ac:dyDescent="0.3">
      <c r="E263" s="77" t="s">
        <v>79</v>
      </c>
      <c r="F263" s="145">
        <v>1</v>
      </c>
    </row>
    <row r="264" spans="2:6" x14ac:dyDescent="0.3">
      <c r="E264" s="77" t="s">
        <v>80</v>
      </c>
      <c r="F264" s="145">
        <v>1</v>
      </c>
    </row>
    <row r="265" spans="2:6" x14ac:dyDescent="0.3">
      <c r="E265" s="77" t="s">
        <v>81</v>
      </c>
      <c r="F265" s="145">
        <v>1</v>
      </c>
    </row>
    <row r="266" spans="2:6" x14ac:dyDescent="0.3">
      <c r="E266" s="77"/>
      <c r="F266" s="168"/>
    </row>
    <row r="267" spans="2:6" x14ac:dyDescent="0.3">
      <c r="D267" s="146" t="s">
        <v>82</v>
      </c>
      <c r="E267" s="146"/>
    </row>
    <row r="268" spans="2:6" x14ac:dyDescent="0.3">
      <c r="D268" s="11" t="s">
        <v>83</v>
      </c>
      <c r="E268" s="53">
        <f>F263*F264*F265</f>
        <v>1</v>
      </c>
    </row>
    <row r="269" spans="2:6" x14ac:dyDescent="0.3">
      <c r="B269" s="54" t="s">
        <v>84</v>
      </c>
      <c r="C269" s="54"/>
      <c r="D269" s="54"/>
    </row>
    <row r="270" spans="2:6" x14ac:dyDescent="0.3">
      <c r="C270" s="146" t="s">
        <v>85</v>
      </c>
      <c r="D270" s="146"/>
      <c r="E270" s="146"/>
      <c r="F270" s="146"/>
    </row>
    <row r="271" spans="2:6" x14ac:dyDescent="0.3">
      <c r="D271" s="55" t="s">
        <v>86</v>
      </c>
      <c r="E271" s="56">
        <f>E268*((1.25*C258)+(1.5*C259)+(1.75*C260))</f>
        <v>58.221285510171612</v>
      </c>
      <c r="F271" s="57" t="s">
        <v>40</v>
      </c>
    </row>
    <row r="273" spans="2:8" x14ac:dyDescent="0.3">
      <c r="B273" s="58" t="s">
        <v>87</v>
      </c>
      <c r="C273" s="58"/>
      <c r="D273" s="58"/>
      <c r="E273" s="58"/>
      <c r="F273" s="58"/>
    </row>
    <row r="274" spans="2:8" x14ac:dyDescent="0.3">
      <c r="B274" s="46" t="s">
        <v>88</v>
      </c>
    </row>
    <row r="275" spans="2:8" x14ac:dyDescent="0.3">
      <c r="B275" s="46" t="s">
        <v>89</v>
      </c>
    </row>
    <row r="276" spans="2:8" x14ac:dyDescent="0.3">
      <c r="B276" s="59" t="s">
        <v>90</v>
      </c>
      <c r="C276" s="105">
        <f>2.5+(2.54/2)</f>
        <v>3.77</v>
      </c>
    </row>
    <row r="277" spans="2:8" x14ac:dyDescent="0.3">
      <c r="B277" s="59" t="s">
        <v>91</v>
      </c>
      <c r="C277" s="108">
        <f>+$E$20*100-C276</f>
        <v>41.23</v>
      </c>
    </row>
    <row r="278" spans="2:8" x14ac:dyDescent="0.3">
      <c r="B278" s="59" t="s">
        <v>92</v>
      </c>
      <c r="C278" s="105">
        <v>5</v>
      </c>
    </row>
    <row r="279" spans="2:8" x14ac:dyDescent="0.3">
      <c r="B279" s="59" t="s">
        <v>93</v>
      </c>
      <c r="C279" s="147">
        <f>+C283*$E$10/(0.85*$E$9*100)</f>
        <v>7.0180236406672378</v>
      </c>
    </row>
    <row r="280" spans="2:8" x14ac:dyDescent="0.3">
      <c r="B280" s="59" t="s">
        <v>94</v>
      </c>
      <c r="C280" s="147">
        <f>+C284*$E$10/(0.85*$E$9*100)</f>
        <v>7.2057511936964875</v>
      </c>
      <c r="D280" s="46" t="s">
        <v>95</v>
      </c>
    </row>
    <row r="281" spans="2:8" x14ac:dyDescent="0.3">
      <c r="B281" s="59"/>
      <c r="C281" s="147"/>
      <c r="D281" s="46"/>
    </row>
    <row r="282" spans="2:8" x14ac:dyDescent="0.3">
      <c r="B282" s="148" t="s">
        <v>96</v>
      </c>
      <c r="C282" s="148"/>
      <c r="D282" s="148"/>
      <c r="E282" s="148"/>
    </row>
    <row r="283" spans="2:8" x14ac:dyDescent="0.3">
      <c r="B283" s="77" t="s">
        <v>97</v>
      </c>
      <c r="C283" s="86">
        <f>($E$271*10^5)/(0.9*$E$10*($C$277-C278/2))</f>
        <v>39.768800630447679</v>
      </c>
      <c r="D283" s="74" t="s">
        <v>301</v>
      </c>
    </row>
    <row r="284" spans="2:8" x14ac:dyDescent="0.3">
      <c r="B284" s="77" t="s">
        <v>97</v>
      </c>
      <c r="C284" s="86">
        <f>($E$271*10^5)/(0.9*$E$10*($C$277-C279/2))</f>
        <v>40.832590097613426</v>
      </c>
      <c r="D284" s="46" t="s">
        <v>98</v>
      </c>
    </row>
    <row r="285" spans="2:8" x14ac:dyDescent="0.3">
      <c r="B285" s="77" t="s">
        <v>97</v>
      </c>
      <c r="C285" s="169">
        <f>($E$271*10^5)/(0.9*$E$10*($C$277-C280/2))</f>
        <v>40.934450156606253</v>
      </c>
      <c r="E285" s="22" t="s">
        <v>99</v>
      </c>
      <c r="F285" s="60">
        <f>+C285</f>
        <v>40.934450156606253</v>
      </c>
      <c r="G285" s="22" t="s">
        <v>100</v>
      </c>
    </row>
    <row r="286" spans="2:8" x14ac:dyDescent="0.3">
      <c r="B286" s="77"/>
      <c r="C286" s="169"/>
      <c r="E286" s="22"/>
      <c r="F286" s="60"/>
      <c r="G286" s="22"/>
    </row>
    <row r="287" spans="2:8" x14ac:dyDescent="0.3">
      <c r="B287" s="85" t="s">
        <v>109</v>
      </c>
      <c r="C287" s="153"/>
      <c r="D287" s="154">
        <v>1</v>
      </c>
      <c r="E287" s="74" t="s">
        <v>110</v>
      </c>
      <c r="F287" s="77" t="s">
        <v>111</v>
      </c>
      <c r="G287" s="104">
        <v>5.0999999999999996</v>
      </c>
      <c r="H287" s="74" t="s">
        <v>100</v>
      </c>
    </row>
    <row r="288" spans="2:8" x14ac:dyDescent="0.3">
      <c r="B288" s="85" t="s">
        <v>112</v>
      </c>
      <c r="C288" s="85"/>
      <c r="D288" s="104">
        <f>+G287/F285</f>
        <v>0.12458943458354797</v>
      </c>
      <c r="E288" s="46" t="s">
        <v>113</v>
      </c>
      <c r="G288" s="131"/>
    </row>
    <row r="289" spans="2:8" ht="17.25" thickBot="1" x14ac:dyDescent="0.35">
      <c r="B289" s="85" t="s">
        <v>114</v>
      </c>
      <c r="C289" s="153"/>
      <c r="D289" s="145">
        <v>12</v>
      </c>
      <c r="E289" s="74" t="s">
        <v>107</v>
      </c>
      <c r="F289" s="77" t="s">
        <v>115</v>
      </c>
      <c r="G289" s="155">
        <f>+G287/(D289/100)</f>
        <v>42.5</v>
      </c>
      <c r="H289" s="74" t="s">
        <v>100</v>
      </c>
    </row>
    <row r="290" spans="2:8" x14ac:dyDescent="0.3">
      <c r="C290" s="61" t="s">
        <v>116</v>
      </c>
      <c r="D290" s="62">
        <f>D287</f>
        <v>1</v>
      </c>
      <c r="E290" s="63" t="s">
        <v>117</v>
      </c>
      <c r="F290" s="64">
        <f>D289</f>
        <v>12</v>
      </c>
      <c r="G290" s="65" t="s">
        <v>107</v>
      </c>
    </row>
    <row r="291" spans="2:8" ht="17.25" thickBot="1" x14ac:dyDescent="0.35">
      <c r="C291" s="66"/>
      <c r="D291" s="67"/>
      <c r="E291" s="68"/>
      <c r="F291" s="67"/>
      <c r="G291" s="69"/>
    </row>
    <row r="293" spans="2:8" x14ac:dyDescent="0.3">
      <c r="B293" s="58" t="s">
        <v>118</v>
      </c>
      <c r="C293" s="58"/>
      <c r="D293" s="58"/>
    </row>
    <row r="294" spans="2:8" x14ac:dyDescent="0.3">
      <c r="B294" s="70" t="s">
        <v>119</v>
      </c>
      <c r="C294" s="70"/>
      <c r="D294" s="104">
        <f>(5*$E$4)/SQRT($E$4)</f>
        <v>14.142135623730949</v>
      </c>
      <c r="E294" s="74" t="s">
        <v>120</v>
      </c>
      <c r="F294" s="131" t="s">
        <v>121</v>
      </c>
      <c r="G294" s="156">
        <v>0.5</v>
      </c>
      <c r="H294" s="44" t="s">
        <v>122</v>
      </c>
    </row>
    <row r="295" spans="2:8" x14ac:dyDescent="0.3">
      <c r="C295" s="11" t="s">
        <v>123</v>
      </c>
      <c r="D295" s="53">
        <f>D294*(F285/100)</f>
        <v>5.7890054579758026</v>
      </c>
      <c r="E295" s="22" t="s">
        <v>100</v>
      </c>
    </row>
    <row r="297" spans="2:8" x14ac:dyDescent="0.3">
      <c r="B297" s="85" t="s">
        <v>109</v>
      </c>
      <c r="C297" s="153"/>
      <c r="D297" s="154">
        <v>0.625</v>
      </c>
      <c r="E297" s="74" t="s">
        <v>110</v>
      </c>
      <c r="F297" s="77" t="s">
        <v>111</v>
      </c>
      <c r="G297" s="104">
        <v>1.99</v>
      </c>
      <c r="H297" s="74" t="s">
        <v>100</v>
      </c>
    </row>
    <row r="298" spans="2:8" x14ac:dyDescent="0.3">
      <c r="B298" s="85" t="s">
        <v>112</v>
      </c>
      <c r="C298" s="85"/>
      <c r="D298" s="104">
        <f>+G297/D295</f>
        <v>0.34375507407032713</v>
      </c>
      <c r="E298" s="46" t="s">
        <v>113</v>
      </c>
      <c r="G298" s="131"/>
    </row>
    <row r="299" spans="2:8" ht="17.25" thickBot="1" x14ac:dyDescent="0.35">
      <c r="B299" s="85" t="s">
        <v>114</v>
      </c>
      <c r="C299" s="153"/>
      <c r="D299" s="145">
        <v>30</v>
      </c>
      <c r="E299" s="74" t="s">
        <v>107</v>
      </c>
      <c r="F299" s="77" t="s">
        <v>115</v>
      </c>
      <c r="G299" s="155">
        <f>+G297/(D299/100)</f>
        <v>6.6333333333333337</v>
      </c>
      <c r="H299" s="74" t="s">
        <v>100</v>
      </c>
    </row>
    <row r="300" spans="2:8" x14ac:dyDescent="0.3">
      <c r="C300" s="61" t="s">
        <v>116</v>
      </c>
      <c r="D300" s="62">
        <f>D297</f>
        <v>0.625</v>
      </c>
      <c r="E300" s="63" t="s">
        <v>117</v>
      </c>
      <c r="F300" s="64">
        <f>D299</f>
        <v>30</v>
      </c>
      <c r="G300" s="65" t="s">
        <v>107</v>
      </c>
    </row>
    <row r="301" spans="2:8" ht="17.25" thickBot="1" x14ac:dyDescent="0.35">
      <c r="C301" s="66"/>
      <c r="D301" s="67"/>
      <c r="E301" s="68"/>
      <c r="F301" s="67"/>
      <c r="G301" s="69"/>
    </row>
    <row r="303" spans="2:8" x14ac:dyDescent="0.3">
      <c r="B303" s="6" t="s">
        <v>180</v>
      </c>
    </row>
    <row r="304" spans="2:8" x14ac:dyDescent="0.3">
      <c r="B304" s="6"/>
    </row>
    <row r="305" spans="1:6" x14ac:dyDescent="0.3">
      <c r="B305" s="58" t="s">
        <v>87</v>
      </c>
      <c r="C305" s="58"/>
      <c r="D305" s="58"/>
      <c r="E305" s="58"/>
      <c r="F305" s="58"/>
    </row>
    <row r="306" spans="1:6" x14ac:dyDescent="0.3">
      <c r="B306" s="73"/>
      <c r="C306" s="73"/>
      <c r="D306" s="73"/>
      <c r="E306" s="73"/>
      <c r="F306" s="73"/>
    </row>
    <row r="307" spans="1:6" ht="15" x14ac:dyDescent="0.25">
      <c r="A307" s="54" t="s">
        <v>133</v>
      </c>
      <c r="B307" s="54"/>
      <c r="C307" s="54"/>
    </row>
    <row r="308" spans="1:6" x14ac:dyDescent="0.3">
      <c r="B308" s="13" t="s">
        <v>161</v>
      </c>
    </row>
    <row r="309" spans="1:6" x14ac:dyDescent="0.3">
      <c r="B309" s="71" t="s">
        <v>134</v>
      </c>
      <c r="C309" s="146"/>
      <c r="D309" s="146"/>
      <c r="E309" s="146"/>
    </row>
    <row r="311" spans="1:6" x14ac:dyDescent="0.3">
      <c r="C311" s="55" t="s">
        <v>135</v>
      </c>
      <c r="D311" s="72">
        <f>+C258+C259+C260</f>
        <v>36.985847692739654</v>
      </c>
      <c r="E311" s="57" t="s">
        <v>136</v>
      </c>
    </row>
    <row r="313" spans="1:6" x14ac:dyDescent="0.3">
      <c r="B313" s="46" t="s">
        <v>181</v>
      </c>
    </row>
    <row r="314" spans="1:6" x14ac:dyDescent="0.3">
      <c r="C314" s="55" t="s">
        <v>135</v>
      </c>
      <c r="D314" s="72">
        <f>+D311*F290/100</f>
        <v>4.4383017231287587</v>
      </c>
      <c r="E314" s="57" t="s">
        <v>136</v>
      </c>
    </row>
    <row r="316" spans="1:6" x14ac:dyDescent="0.3">
      <c r="B316" s="13" t="s">
        <v>160</v>
      </c>
    </row>
    <row r="317" spans="1:6" x14ac:dyDescent="0.3">
      <c r="B317" s="70" t="s">
        <v>138</v>
      </c>
      <c r="C317" s="70"/>
      <c r="D317" s="131">
        <f>2.04*10^6</f>
        <v>2040000</v>
      </c>
      <c r="E317" s="46" t="s">
        <v>139</v>
      </c>
    </row>
    <row r="318" spans="1:6" x14ac:dyDescent="0.3">
      <c r="B318" s="70" t="s">
        <v>140</v>
      </c>
      <c r="C318" s="70"/>
      <c r="D318" s="74">
        <f>15300*SQRT(($E$9))</f>
        <v>256017.96811942713</v>
      </c>
      <c r="E318" s="46" t="s">
        <v>139</v>
      </c>
    </row>
    <row r="319" spans="1:6" x14ac:dyDescent="0.3">
      <c r="C319" s="77" t="s">
        <v>141</v>
      </c>
      <c r="D319" s="158">
        <f>+D317/D318</f>
        <v>7.9681907288959577</v>
      </c>
    </row>
    <row r="320" spans="1:6" x14ac:dyDescent="0.3">
      <c r="C320" s="59" t="s">
        <v>142</v>
      </c>
      <c r="D320" s="131">
        <f>2.5+2.54/2</f>
        <v>3.77</v>
      </c>
    </row>
    <row r="326" spans="2:8" x14ac:dyDescent="0.3">
      <c r="F326" s="77"/>
      <c r="G326" s="86"/>
    </row>
    <row r="329" spans="2:8" x14ac:dyDescent="0.3">
      <c r="B329" s="74" t="s">
        <v>143</v>
      </c>
      <c r="E329" s="77"/>
      <c r="F329" s="77"/>
      <c r="G329" s="77"/>
      <c r="H329" s="159">
        <f>+ROUND(D319,0)*G154</f>
        <v>40.799999999999997</v>
      </c>
    </row>
    <row r="330" spans="2:8" x14ac:dyDescent="0.3">
      <c r="E330" s="77"/>
      <c r="F330" s="77"/>
      <c r="G330" s="77"/>
      <c r="H330" s="159"/>
    </row>
    <row r="331" spans="2:8" x14ac:dyDescent="0.3">
      <c r="B331" s="74" t="s">
        <v>144</v>
      </c>
      <c r="E331" s="77"/>
      <c r="F331" s="77"/>
      <c r="G331" s="77"/>
    </row>
    <row r="332" spans="2:8" x14ac:dyDescent="0.3">
      <c r="E332" s="77"/>
      <c r="F332" s="77"/>
      <c r="G332" s="77"/>
    </row>
    <row r="333" spans="2:8" x14ac:dyDescent="0.3">
      <c r="C333" s="77" t="s">
        <v>182</v>
      </c>
      <c r="D333" s="74" t="s">
        <v>145</v>
      </c>
      <c r="E333" s="77"/>
      <c r="F333" s="77"/>
      <c r="G333" s="77"/>
    </row>
    <row r="334" spans="2:8" x14ac:dyDescent="0.3">
      <c r="C334" s="77" t="s">
        <v>183</v>
      </c>
      <c r="D334" s="115" t="s">
        <v>153</v>
      </c>
      <c r="G334" s="132"/>
    </row>
    <row r="335" spans="2:8" x14ac:dyDescent="0.3">
      <c r="C335" s="74" t="s">
        <v>314</v>
      </c>
      <c r="E335" s="77"/>
    </row>
    <row r="336" spans="2:8" x14ac:dyDescent="0.3">
      <c r="C336" s="160" t="s">
        <v>147</v>
      </c>
      <c r="D336" s="119" t="s">
        <v>148</v>
      </c>
      <c r="E336" s="121" t="s">
        <v>149</v>
      </c>
      <c r="F336" s="77"/>
      <c r="G336" s="77"/>
    </row>
    <row r="337" spans="2:10" x14ac:dyDescent="0.3">
      <c r="C337" s="133">
        <f>+F290/2</f>
        <v>6</v>
      </c>
      <c r="D337" s="133">
        <f>H329</f>
        <v>40.799999999999997</v>
      </c>
      <c r="E337" s="133">
        <f>-H329*(E20*100-D320)</f>
        <v>-1682.1839999999997</v>
      </c>
      <c r="F337" s="77"/>
      <c r="G337" s="132"/>
    </row>
    <row r="338" spans="2:10" x14ac:dyDescent="0.3">
      <c r="C338" s="77" t="s">
        <v>150</v>
      </c>
      <c r="D338" s="158">
        <f>-($D$337+SQRT(($D$337^2)-4*($C$337)*($E$337)))/(2*$C$337)</f>
        <v>-20.485783564121373</v>
      </c>
      <c r="E338" s="77"/>
      <c r="F338" s="77"/>
      <c r="G338" s="132"/>
    </row>
    <row r="339" spans="2:10" x14ac:dyDescent="0.3">
      <c r="C339" s="77" t="s">
        <v>151</v>
      </c>
      <c r="D339" s="158">
        <f>-($D$337-SQRT(($D$337^2)-4*($C$337)*($E$337)))/(2*$C$337)</f>
        <v>13.685783564121371</v>
      </c>
      <c r="E339" s="77"/>
      <c r="F339" s="77"/>
      <c r="G339" s="77"/>
    </row>
    <row r="341" spans="2:10" x14ac:dyDescent="0.3">
      <c r="B341" s="13" t="s">
        <v>154</v>
      </c>
    </row>
    <row r="342" spans="2:10" x14ac:dyDescent="0.3">
      <c r="B342" s="74" t="s">
        <v>155</v>
      </c>
    </row>
    <row r="343" spans="2:10" x14ac:dyDescent="0.3">
      <c r="B343" s="74" t="s">
        <v>156</v>
      </c>
      <c r="C343" s="162">
        <f>+($E$20*100-D320)-(D339/3)</f>
        <v>36.668072145292875</v>
      </c>
    </row>
    <row r="344" spans="2:10" x14ac:dyDescent="0.3">
      <c r="I344" s="74" t="s">
        <v>95</v>
      </c>
      <c r="J344" s="74" t="b">
        <v>0</v>
      </c>
    </row>
    <row r="345" spans="2:10" x14ac:dyDescent="0.3">
      <c r="B345" s="74" t="s">
        <v>157</v>
      </c>
      <c r="E345" s="163">
        <f>+(D314*10^5)/(C343*$G$154)</f>
        <v>2373.3324085893732</v>
      </c>
      <c r="F345" s="131" t="s">
        <v>158</v>
      </c>
      <c r="G345" s="163">
        <f>0.6*$E$10</f>
        <v>2520</v>
      </c>
      <c r="H345" s="164" t="str">
        <f>+IF(E345&lt;G345,I344,J344)</f>
        <v>ok!</v>
      </c>
    </row>
    <row r="347" spans="2:10" x14ac:dyDescent="0.3">
      <c r="B347" s="13" t="s">
        <v>159</v>
      </c>
    </row>
    <row r="352" spans="2:10" x14ac:dyDescent="0.3">
      <c r="B352" s="77" t="s">
        <v>163</v>
      </c>
      <c r="C352" s="165">
        <f>+(125000*1/(G352*E345))-2*D320</f>
        <v>39.043534239254711</v>
      </c>
      <c r="D352" s="131" t="s">
        <v>164</v>
      </c>
      <c r="E352" s="105">
        <f>+F290</f>
        <v>12</v>
      </c>
      <c r="F352" s="77" t="s">
        <v>162</v>
      </c>
      <c r="G352" s="104">
        <f>1+D320/(0.7*(E20*100-D320))</f>
        <v>1.130626104431586</v>
      </c>
    </row>
    <row r="353" spans="1:17" x14ac:dyDescent="0.3">
      <c r="E353" s="164" t="str">
        <f>+IF(C352&gt;E352,I344,J344)</f>
        <v>ok!</v>
      </c>
    </row>
    <row r="355" spans="1:17" x14ac:dyDescent="0.3">
      <c r="B355" s="14" t="s">
        <v>184</v>
      </c>
    </row>
    <row r="356" spans="1:17" s="1" customFormat="1" ht="15" x14ac:dyDescent="0.25">
      <c r="A356" s="6"/>
      <c r="B356" s="6" t="s">
        <v>190</v>
      </c>
      <c r="C356" s="6"/>
      <c r="D356" s="6"/>
      <c r="E356" s="6"/>
      <c r="F356" s="6"/>
      <c r="G356" s="6"/>
      <c r="H356" s="6"/>
      <c r="I356" s="6"/>
      <c r="J356" s="6"/>
      <c r="K356" s="74"/>
      <c r="L356" s="74"/>
      <c r="M356" s="74"/>
      <c r="N356" s="74"/>
      <c r="O356" s="74"/>
      <c r="P356" s="74"/>
      <c r="Q356" s="74"/>
    </row>
    <row r="359" spans="1:17" x14ac:dyDescent="0.3">
      <c r="K359" s="6"/>
      <c r="L359" s="6"/>
      <c r="M359" s="6"/>
      <c r="N359" s="6"/>
      <c r="O359" s="6"/>
    </row>
    <row r="360" spans="1:17" x14ac:dyDescent="0.3">
      <c r="P360" s="6"/>
      <c r="Q360" s="6"/>
    </row>
    <row r="369" spans="2:8" x14ac:dyDescent="0.3">
      <c r="B369" s="43" t="s">
        <v>185</v>
      </c>
      <c r="C369" s="170">
        <f>14.52*8/4</f>
        <v>29.04</v>
      </c>
    </row>
    <row r="370" spans="2:8" x14ac:dyDescent="0.3">
      <c r="B370" s="43" t="s">
        <v>186</v>
      </c>
      <c r="C370" s="171">
        <f>1.15*C369</f>
        <v>33.395999999999994</v>
      </c>
    </row>
    <row r="371" spans="2:8" x14ac:dyDescent="0.3">
      <c r="B371" s="74" t="s">
        <v>188</v>
      </c>
    </row>
    <row r="372" spans="2:8" x14ac:dyDescent="0.3">
      <c r="B372" s="43" t="s">
        <v>187</v>
      </c>
      <c r="C372" s="171">
        <f>1.5*C370</f>
        <v>50.093999999999994</v>
      </c>
    </row>
    <row r="373" spans="2:8" x14ac:dyDescent="0.3">
      <c r="B373" s="74" t="s">
        <v>189</v>
      </c>
    </row>
    <row r="374" spans="2:8" x14ac:dyDescent="0.3">
      <c r="B374" s="43" t="s">
        <v>187</v>
      </c>
      <c r="C374" s="172">
        <f>+C372/D106</f>
        <v>14.29906489623419</v>
      </c>
    </row>
    <row r="375" spans="2:8" x14ac:dyDescent="0.3">
      <c r="B375" s="43"/>
      <c r="C375" s="172"/>
    </row>
    <row r="376" spans="2:8" x14ac:dyDescent="0.3">
      <c r="B376" s="6" t="s">
        <v>191</v>
      </c>
      <c r="C376" s="172"/>
    </row>
    <row r="377" spans="2:8" x14ac:dyDescent="0.3">
      <c r="B377" s="43"/>
      <c r="C377" s="172"/>
    </row>
    <row r="378" spans="2:8" x14ac:dyDescent="0.3">
      <c r="B378" s="43"/>
      <c r="C378" s="172"/>
    </row>
    <row r="379" spans="2:8" x14ac:dyDescent="0.3">
      <c r="B379" s="43"/>
      <c r="C379" s="172"/>
    </row>
    <row r="380" spans="2:8" x14ac:dyDescent="0.3">
      <c r="B380" s="43"/>
      <c r="C380" s="172"/>
    </row>
    <row r="381" spans="2:8" x14ac:dyDescent="0.3">
      <c r="B381" s="43" t="s">
        <v>192</v>
      </c>
      <c r="C381" s="173">
        <f>0.8*SQRT(E9)</f>
        <v>13.386560424545209</v>
      </c>
    </row>
    <row r="382" spans="2:8" x14ac:dyDescent="0.3">
      <c r="B382" s="43"/>
      <c r="C382" s="172"/>
    </row>
    <row r="383" spans="2:8" x14ac:dyDescent="0.3">
      <c r="B383" s="174" t="s">
        <v>193</v>
      </c>
      <c r="C383" s="174"/>
      <c r="D383" s="174"/>
      <c r="E383" s="174"/>
      <c r="F383" s="174"/>
      <c r="G383" s="174"/>
      <c r="H383" s="174"/>
    </row>
    <row r="384" spans="2:8" x14ac:dyDescent="0.3">
      <c r="B384" s="174"/>
      <c r="C384" s="174"/>
      <c r="D384" s="174"/>
      <c r="E384" s="174"/>
      <c r="F384" s="174"/>
      <c r="G384" s="174"/>
      <c r="H384" s="174"/>
    </row>
    <row r="385" spans="2:6" x14ac:dyDescent="0.3">
      <c r="B385" s="103" t="s">
        <v>194</v>
      </c>
      <c r="C385" s="172" t="s">
        <v>195</v>
      </c>
    </row>
    <row r="386" spans="2:6" x14ac:dyDescent="0.3">
      <c r="B386" s="103" t="s">
        <v>194</v>
      </c>
      <c r="C386" s="171">
        <f>+E38+E52+C374</f>
        <v>23.835064896234194</v>
      </c>
    </row>
    <row r="387" spans="2:6" x14ac:dyDescent="0.3">
      <c r="B387" s="103" t="s">
        <v>196</v>
      </c>
      <c r="C387" s="175">
        <f>+(100*(E20*100)^2)/6</f>
        <v>33750</v>
      </c>
    </row>
    <row r="388" spans="2:6" x14ac:dyDescent="0.3">
      <c r="B388" s="103" t="s">
        <v>197</v>
      </c>
      <c r="C388" s="173">
        <f>+(C386*10^5)/C387</f>
        <v>70.622414507360574</v>
      </c>
      <c r="D388" s="131" t="s">
        <v>198</v>
      </c>
      <c r="E388" s="173">
        <f>+C381</f>
        <v>13.386560424545209</v>
      </c>
      <c r="F388" s="74" t="s">
        <v>199</v>
      </c>
    </row>
    <row r="389" spans="2:6" x14ac:dyDescent="0.3">
      <c r="B389" s="43"/>
      <c r="C389" s="172"/>
    </row>
    <row r="390" spans="2:6" x14ac:dyDescent="0.3">
      <c r="B390" s="6" t="s">
        <v>200</v>
      </c>
      <c r="C390" s="172"/>
    </row>
    <row r="391" spans="2:6" x14ac:dyDescent="0.3">
      <c r="B391" s="43"/>
      <c r="C391" s="172"/>
    </row>
    <row r="392" spans="2:6" x14ac:dyDescent="0.3">
      <c r="B392" s="43" t="s">
        <v>201</v>
      </c>
      <c r="C392" s="172"/>
    </row>
    <row r="393" spans="2:6" x14ac:dyDescent="0.3">
      <c r="B393" s="103" t="s">
        <v>156</v>
      </c>
      <c r="C393" s="176">
        <f>+C138-D218/3</f>
        <v>37.06288219263854</v>
      </c>
      <c r="D393" s="85" t="s">
        <v>302</v>
      </c>
      <c r="E393" s="85"/>
      <c r="F393" s="177">
        <f>+G159</f>
        <v>34</v>
      </c>
    </row>
    <row r="394" spans="2:6" x14ac:dyDescent="0.3">
      <c r="B394" s="43"/>
      <c r="C394" s="172"/>
    </row>
    <row r="395" spans="2:6" x14ac:dyDescent="0.3">
      <c r="B395" s="43" t="s">
        <v>202</v>
      </c>
      <c r="C395" s="172"/>
    </row>
    <row r="396" spans="2:6" x14ac:dyDescent="0.3">
      <c r="B396" s="43" t="s">
        <v>203</v>
      </c>
      <c r="C396" s="178">
        <f>+(C374*10^5)/(C393*F393)</f>
        <v>1134.7221461522336</v>
      </c>
    </row>
    <row r="397" spans="2:6" x14ac:dyDescent="0.3">
      <c r="B397" s="43"/>
      <c r="C397" s="172"/>
    </row>
    <row r="398" spans="2:6" x14ac:dyDescent="0.3">
      <c r="B398" s="43" t="s">
        <v>204</v>
      </c>
      <c r="C398" s="172"/>
    </row>
    <row r="399" spans="2:6" x14ac:dyDescent="0.3">
      <c r="B399" s="43" t="s">
        <v>205</v>
      </c>
      <c r="C399" s="178">
        <f>+((E38+E52)*10^5)/(F393*C393)</f>
        <v>756.74251877529764</v>
      </c>
    </row>
    <row r="400" spans="2:6" x14ac:dyDescent="0.3">
      <c r="B400" s="103" t="s">
        <v>207</v>
      </c>
      <c r="C400" s="178">
        <f>+C399</f>
        <v>756.74251877529764</v>
      </c>
    </row>
    <row r="401" spans="2:7" x14ac:dyDescent="0.3">
      <c r="B401" s="103" t="s">
        <v>206</v>
      </c>
      <c r="C401" s="178">
        <f>+C399+C396</f>
        <v>1891.4646649275312</v>
      </c>
    </row>
    <row r="402" spans="2:7" x14ac:dyDescent="0.3">
      <c r="B402" s="103" t="s">
        <v>208</v>
      </c>
      <c r="C402" s="178">
        <f>1687-0.33*C400</f>
        <v>1437.2749688041517</v>
      </c>
      <c r="D402" s="131" t="s">
        <v>198</v>
      </c>
      <c r="E402" s="179">
        <f>+C396</f>
        <v>1134.7221461522336</v>
      </c>
      <c r="F402" s="43" t="s">
        <v>95</v>
      </c>
    </row>
    <row r="403" spans="2:7" x14ac:dyDescent="0.3">
      <c r="B403" s="103"/>
      <c r="C403" s="178"/>
      <c r="D403" s="131"/>
      <c r="E403" s="179"/>
      <c r="F403" s="43"/>
    </row>
    <row r="404" spans="2:7" x14ac:dyDescent="0.3">
      <c r="B404" s="35" t="s">
        <v>209</v>
      </c>
      <c r="C404" s="35"/>
      <c r="D404" s="35"/>
      <c r="E404" s="35"/>
      <c r="F404" s="35"/>
      <c r="G404" s="35"/>
    </row>
    <row r="405" spans="2:7" x14ac:dyDescent="0.3">
      <c r="C405" s="180">
        <f>D182</f>
        <v>0.5</v>
      </c>
      <c r="D405" s="131">
        <f>F182</f>
        <v>30</v>
      </c>
    </row>
    <row r="406" spans="2:7" x14ac:dyDescent="0.3">
      <c r="C406" s="75" t="s">
        <v>129</v>
      </c>
      <c r="D406" s="75"/>
      <c r="F406" s="180">
        <f>D170</f>
        <v>0.625</v>
      </c>
      <c r="G406" s="131">
        <f>F170</f>
        <v>30</v>
      </c>
    </row>
    <row r="407" spans="2:7" x14ac:dyDescent="0.3">
      <c r="F407" s="75" t="s">
        <v>130</v>
      </c>
      <c r="G407" s="75"/>
    </row>
    <row r="414" spans="2:7" x14ac:dyDescent="0.3">
      <c r="E414" s="74" t="s">
        <v>210</v>
      </c>
      <c r="F414" s="180">
        <f>+D160</f>
        <v>1</v>
      </c>
      <c r="G414" s="131">
        <f>+F160</f>
        <v>15</v>
      </c>
    </row>
    <row r="415" spans="2:7" x14ac:dyDescent="0.3">
      <c r="F415" s="75" t="s">
        <v>131</v>
      </c>
      <c r="G415" s="75"/>
    </row>
    <row r="416" spans="2:7" x14ac:dyDescent="0.3">
      <c r="D416" s="146" t="s">
        <v>255</v>
      </c>
      <c r="E416" s="146"/>
      <c r="F416" s="180">
        <v>1</v>
      </c>
      <c r="G416" s="131">
        <f>+F290</f>
        <v>12</v>
      </c>
    </row>
  </sheetData>
  <mergeCells count="138">
    <mergeCell ref="F407:G407"/>
    <mergeCell ref="F415:G415"/>
    <mergeCell ref="D393:E393"/>
    <mergeCell ref="B404:G404"/>
    <mergeCell ref="K105:M105"/>
    <mergeCell ref="B305:F305"/>
    <mergeCell ref="A307:C307"/>
    <mergeCell ref="B309:E309"/>
    <mergeCell ref="B317:C317"/>
    <mergeCell ref="B318:C318"/>
    <mergeCell ref="B383:H384"/>
    <mergeCell ref="B299:C299"/>
    <mergeCell ref="C300:C301"/>
    <mergeCell ref="D300:D301"/>
    <mergeCell ref="E300:E301"/>
    <mergeCell ref="F300:F301"/>
    <mergeCell ref="G300:G301"/>
    <mergeCell ref="B294:C294"/>
    <mergeCell ref="B297:C297"/>
    <mergeCell ref="B298:C298"/>
    <mergeCell ref="B287:C287"/>
    <mergeCell ref="B288:C288"/>
    <mergeCell ref="B289:C289"/>
    <mergeCell ref="C290:C291"/>
    <mergeCell ref="B174:D174"/>
    <mergeCell ref="B175:C175"/>
    <mergeCell ref="B177:C177"/>
    <mergeCell ref="B178:C178"/>
    <mergeCell ref="B181:C181"/>
    <mergeCell ref="C182:C183"/>
    <mergeCell ref="D182:D183"/>
    <mergeCell ref="B186:F186"/>
    <mergeCell ref="A187:C187"/>
    <mergeCell ref="B190:E190"/>
    <mergeCell ref="B198:C198"/>
    <mergeCell ref="B199:C199"/>
    <mergeCell ref="E182:E183"/>
    <mergeCell ref="F182:F183"/>
    <mergeCell ref="G182:G183"/>
    <mergeCell ref="C406:D406"/>
    <mergeCell ref="D267:E267"/>
    <mergeCell ref="B269:D269"/>
    <mergeCell ref="C270:F270"/>
    <mergeCell ref="B273:F273"/>
    <mergeCell ref="C256:C257"/>
    <mergeCell ref="D256:F256"/>
    <mergeCell ref="B235:D235"/>
    <mergeCell ref="B255:F255"/>
    <mergeCell ref="F290:F291"/>
    <mergeCell ref="G290:G291"/>
    <mergeCell ref="B293:D293"/>
    <mergeCell ref="D290:D291"/>
    <mergeCell ref="E290:E291"/>
    <mergeCell ref="B282:E282"/>
    <mergeCell ref="B256:B257"/>
    <mergeCell ref="B169:C169"/>
    <mergeCell ref="C170:C171"/>
    <mergeCell ref="D170:D171"/>
    <mergeCell ref="E170:E171"/>
    <mergeCell ref="F170:F171"/>
    <mergeCell ref="G170:G171"/>
    <mergeCell ref="F160:F161"/>
    <mergeCell ref="G160:G161"/>
    <mergeCell ref="B163:D163"/>
    <mergeCell ref="B164:C164"/>
    <mergeCell ref="B167:C167"/>
    <mergeCell ref="B168:C168"/>
    <mergeCell ref="B157:C157"/>
    <mergeCell ref="B158:C158"/>
    <mergeCell ref="B159:C159"/>
    <mergeCell ref="C160:C161"/>
    <mergeCell ref="D160:D161"/>
    <mergeCell ref="E160:E161"/>
    <mergeCell ref="D128:E128"/>
    <mergeCell ref="B130:D130"/>
    <mergeCell ref="C131:F131"/>
    <mergeCell ref="B134:F134"/>
    <mergeCell ref="B143:E143"/>
    <mergeCell ref="C147:D147"/>
    <mergeCell ref="B104:C104"/>
    <mergeCell ref="C105:D105"/>
    <mergeCell ref="B108:D108"/>
    <mergeCell ref="B117:F117"/>
    <mergeCell ref="B118:B119"/>
    <mergeCell ref="C118:C119"/>
    <mergeCell ref="D118:F118"/>
    <mergeCell ref="B62:D62"/>
    <mergeCell ref="B63:D63"/>
    <mergeCell ref="F63:H63"/>
    <mergeCell ref="F77:F78"/>
    <mergeCell ref="B58:D58"/>
    <mergeCell ref="B59:D59"/>
    <mergeCell ref="C60:C61"/>
    <mergeCell ref="D60:D61"/>
    <mergeCell ref="E60:E61"/>
    <mergeCell ref="F60:G61"/>
    <mergeCell ref="C48:C49"/>
    <mergeCell ref="D48:D49"/>
    <mergeCell ref="E48:E49"/>
    <mergeCell ref="F48:G49"/>
    <mergeCell ref="B51:B52"/>
    <mergeCell ref="C51:D51"/>
    <mergeCell ref="C52:D52"/>
    <mergeCell ref="C37:D37"/>
    <mergeCell ref="C38:D38"/>
    <mergeCell ref="B42:D42"/>
    <mergeCell ref="B43:D43"/>
    <mergeCell ref="C44:C45"/>
    <mergeCell ref="G21:H21"/>
    <mergeCell ref="B22:C22"/>
    <mergeCell ref="G22:H22"/>
    <mergeCell ref="B26:B27"/>
    <mergeCell ref="B34:C34"/>
    <mergeCell ref="B35:D35"/>
    <mergeCell ref="D416:E416"/>
    <mergeCell ref="K51:M51"/>
    <mergeCell ref="B1:H1"/>
    <mergeCell ref="B3:C3"/>
    <mergeCell ref="B4:D4"/>
    <mergeCell ref="B5:D5"/>
    <mergeCell ref="B6:C6"/>
    <mergeCell ref="B8:C8"/>
    <mergeCell ref="K1:Q1"/>
    <mergeCell ref="K3:M3"/>
    <mergeCell ref="K29:M29"/>
    <mergeCell ref="B17:C17"/>
    <mergeCell ref="D17:E17"/>
    <mergeCell ref="B18:C18"/>
    <mergeCell ref="B19:C19"/>
    <mergeCell ref="D19:E19"/>
    <mergeCell ref="B21:C21"/>
    <mergeCell ref="B9:D9"/>
    <mergeCell ref="B10:D10"/>
    <mergeCell ref="B11:C11"/>
    <mergeCell ref="B12:D12"/>
    <mergeCell ref="B13:D13"/>
    <mergeCell ref="B16:D16"/>
    <mergeCell ref="B37:B38"/>
  </mergeCells>
  <pageMargins left="0.70866141732283472" right="0.70866141732283472" top="0.55118110236220474" bottom="0.55118110236220474" header="0.31496062992125984" footer="0.31496062992125984"/>
  <pageSetup paperSize="120" scale="96" orientation="portrait" r:id="rId1"/>
  <colBreaks count="1" manualBreakCount="1">
    <brk id="10" max="4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LRFD</vt:lpstr>
      <vt:lpstr>LRFD!Área_de_impresión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USUARIO02</dc:creator>
  <cp:lastModifiedBy>LENOVO</cp:lastModifiedBy>
  <cp:lastPrinted>2024-05-15T18:41:46Z</cp:lastPrinted>
  <dcterms:created xsi:type="dcterms:W3CDTF">2019-09-19T14:10:42Z</dcterms:created>
  <dcterms:modified xsi:type="dcterms:W3CDTF">2024-05-15T18:42:19Z</dcterms:modified>
</cp:coreProperties>
</file>