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120" yWindow="705" windowWidth="20115" windowHeight="7905" tabRatio="772" firstSheet="0" activeTab="1" autoFilterDateGrouping="1"/>
  </bookViews>
  <sheets>
    <sheet xmlns:r="http://schemas.openxmlformats.org/officeDocument/2006/relationships" name="LEEME - REVISION" sheetId="1" state="visible" r:id="rId1"/>
    <sheet xmlns:r="http://schemas.openxmlformats.org/officeDocument/2006/relationships" name="Zap. Centrica Aislada" sheetId="2" state="visible" r:id="rId2"/>
    <sheet xmlns:r="http://schemas.openxmlformats.org/officeDocument/2006/relationships" name="Combinada Rectangular" sheetId="3" state="visible" r:id="rId3"/>
    <sheet xmlns:r="http://schemas.openxmlformats.org/officeDocument/2006/relationships" name="Parametros" sheetId="4" state="visible" r:id="rId4"/>
    <sheet xmlns:r="http://schemas.openxmlformats.org/officeDocument/2006/relationships" name="Hoja1" sheetId="5" state="visible" r:id="rId5"/>
    <sheet xmlns:r="http://schemas.openxmlformats.org/officeDocument/2006/relationships" name="Hoja2" sheetId="6" state="visible" r:id="rId6"/>
  </sheets>
  <definedNames>
    <definedName name="_xlnm._FilterDatabase" localSheetId="4" hidden="1">'Hoja1'!$B$2:$J$210</definedName>
  </definedNames>
  <calcPr calcId="152511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49">
    <font>
      <name val="Calibri"/>
      <family val="2"/>
      <color theme="1"/>
      <sz val="11"/>
      <scheme val="minor"/>
    </font>
    <font>
      <name val="Calibri"/>
      <family val="2"/>
      <color theme="1"/>
      <sz val="11"/>
    </font>
    <font>
      <name val="Arial"/>
      <family val="2"/>
      <color theme="1"/>
      <sz val="10"/>
    </font>
    <font>
      <name val="Arial"/>
      <family val="2"/>
      <i val="1"/>
      <color theme="1"/>
      <sz val="10"/>
    </font>
    <font>
      <name val="Tahoma"/>
      <family val="2"/>
      <color indexed="81"/>
      <sz val="9"/>
    </font>
    <font>
      <name val="Tahoma"/>
      <family val="2"/>
      <b val="1"/>
      <color indexed="81"/>
      <sz val="9"/>
    </font>
    <font>
      <name val="Calibri"/>
      <family val="2"/>
      <color theme="1"/>
      <sz val="11"/>
      <scheme val="minor"/>
    </font>
    <font>
      <name val="Arial"/>
      <family val="2"/>
      <b val="1"/>
      <i val="1"/>
      <color theme="1"/>
      <sz val="10"/>
    </font>
    <font>
      <name val="Arial"/>
      <family val="2"/>
      <b val="1"/>
      <i val="1"/>
      <color rgb="FFFF0000"/>
      <sz val="10"/>
    </font>
    <font>
      <name val="Arial"/>
      <family val="2"/>
      <color rgb="FFFF0000"/>
      <sz val="10"/>
    </font>
    <font>
      <name val="Arial"/>
      <family val="2"/>
      <b val="1"/>
      <color rgb="FFFF0000"/>
      <sz val="10"/>
    </font>
    <font>
      <name val="Arial"/>
      <family val="2"/>
      <color theme="1"/>
      <sz val="8"/>
    </font>
    <font>
      <name val="Arial"/>
      <family val="2"/>
      <b val="1"/>
      <color theme="1"/>
      <sz val="10"/>
    </font>
    <font>
      <name val="Arial"/>
      <family val="2"/>
      <b val="1"/>
      <i val="1"/>
      <color theme="1"/>
      <sz val="10"/>
      <u val="single"/>
    </font>
    <font>
      <name val="Aparajita"/>
      <family val="2"/>
      <b val="1"/>
      <color theme="1"/>
      <sz val="18"/>
      <u val="single"/>
    </font>
    <font>
      <name val="Calibri"/>
      <family val="2"/>
      <color theme="1"/>
      <sz val="10"/>
    </font>
    <font>
      <name val="Arial"/>
      <family val="2"/>
      <sz val="10"/>
    </font>
    <font>
      <name val="Calibri"/>
      <family val="2"/>
      <b val="1"/>
      <color theme="1"/>
      <sz val="18"/>
      <u val="single"/>
      <scheme val="minor"/>
    </font>
    <font>
      <name val="Calibri"/>
      <family val="2"/>
      <b val="1"/>
      <i val="1"/>
      <color theme="1"/>
      <sz val="9"/>
      <scheme val="minor"/>
    </font>
    <font>
      <name val="Calibri"/>
      <family val="2"/>
      <color theme="1"/>
      <sz val="10"/>
      <scheme val="minor"/>
    </font>
    <font>
      <name val="Calibri"/>
      <family val="2"/>
      <b val="1"/>
      <i val="1"/>
      <color theme="1"/>
      <sz val="10"/>
      <scheme val="minor"/>
    </font>
    <font>
      <name val="Calibri"/>
      <family val="2"/>
      <b val="1"/>
      <color theme="1"/>
      <sz val="10"/>
      <scheme val="minor"/>
    </font>
    <font>
      <name val="Calibri"/>
      <family val="2"/>
      <b val="1"/>
      <color theme="3" tint="-0.499984740745262"/>
      <sz val="10"/>
      <scheme val="minor"/>
    </font>
    <font>
      <name val="Calibri"/>
      <family val="2"/>
      <color theme="1"/>
      <sz val="8"/>
      <scheme val="minor"/>
    </font>
    <font>
      <name val="Calibri"/>
      <family val="2"/>
      <b val="1"/>
      <i val="1"/>
      <color rgb="FFFF0000"/>
      <sz val="10"/>
      <scheme val="minor"/>
    </font>
    <font>
      <name val="Calibri"/>
      <family val="2"/>
      <i val="1"/>
      <color theme="1"/>
      <sz val="10"/>
      <scheme val="minor"/>
    </font>
    <font>
      <name val="Calibri"/>
      <family val="2"/>
      <color rgb="FF002060"/>
      <sz val="10"/>
      <scheme val="minor"/>
    </font>
    <font>
      <name val="Calibri"/>
      <family val="2"/>
      <i val="1"/>
      <color theme="1"/>
      <sz val="9"/>
      <scheme val="minor"/>
    </font>
    <font>
      <name val="Calibri"/>
      <family val="2"/>
      <b val="1"/>
      <i val="1"/>
      <color theme="6" tint="-0.499984740745262"/>
      <sz val="10"/>
      <u val="single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color theme="1"/>
      <sz val="8"/>
      <scheme val="minor"/>
    </font>
    <font>
      <name val="Calibri"/>
      <family val="2"/>
      <b val="1"/>
      <i val="1"/>
      <sz val="10"/>
      <scheme val="minor"/>
    </font>
    <font>
      <name val="Calibri"/>
      <family val="2"/>
      <color theme="1"/>
      <sz val="10"/>
      <u val="single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i val="1"/>
      <color theme="2" tint="-0.8999908444471572"/>
      <sz val="10"/>
      <scheme val="minor"/>
    </font>
    <font>
      <name val="Calibri"/>
      <family val="2"/>
      <b val="1"/>
      <color theme="2" tint="-0.8999908444471572"/>
      <sz val="10"/>
      <scheme val="minor"/>
    </font>
    <font>
      <name val="Calibri"/>
      <family val="2"/>
      <b val="1"/>
      <color theme="2" tint="-0.8999908444471572"/>
      <sz val="8"/>
      <scheme val="minor"/>
    </font>
    <font>
      <name val="Calibri"/>
      <family val="2"/>
      <b val="1"/>
      <i val="1"/>
      <color theme="3" tint="-0.499984740745262"/>
      <sz val="10"/>
      <scheme val="minor"/>
    </font>
    <font>
      <name val="Calibri"/>
      <family val="2"/>
      <color theme="1"/>
      <sz val="9"/>
      <scheme val="minor"/>
    </font>
    <font>
      <name val="Calibri"/>
      <family val="2"/>
      <i val="1"/>
      <color theme="1" tint="0.0499893185216834"/>
      <sz val="10"/>
      <scheme val="minor"/>
    </font>
    <font>
      <name val="Calibri"/>
      <family val="2"/>
      <b val="1"/>
      <i val="1"/>
      <color theme="1" tint="0.0499893185216834"/>
      <sz val="10"/>
      <scheme val="minor"/>
    </font>
    <font>
      <name val="Calibri"/>
      <family val="2"/>
      <i val="1"/>
      <color theme="1"/>
      <sz val="10"/>
    </font>
    <font>
      <name val="Calibri"/>
      <family val="2"/>
      <color theme="1" tint="0.0499893185216834"/>
      <sz val="10"/>
      <scheme val="minor"/>
    </font>
    <font>
      <name val="Calibri"/>
      <family val="2"/>
      <b val="1"/>
      <color theme="1" tint="0.0499893185216834"/>
      <sz val="10"/>
      <scheme val="minor"/>
    </font>
    <font>
      <name val="Calibri"/>
      <family val="2"/>
      <b val="1"/>
      <i val="1"/>
      <color theme="0" tint="-0.499984740745262"/>
      <sz val="10"/>
      <u val="single"/>
      <scheme val="minor"/>
    </font>
    <font>
      <name val="Arial"/>
      <b val="1"/>
      <color rgb="00FFFFFF"/>
      <sz val="16"/>
    </font>
    <font>
      <name val="Arial"/>
      <b val="1"/>
      <color rgb="0017365D"/>
      <sz val="12"/>
    </font>
    <font>
      <name val="Arial"/>
      <b val="1"/>
      <color rgb="0017365D"/>
      <sz val="10"/>
    </font>
    <font>
      <name val="Arial"/>
      <color rgb="00222222"/>
      <sz val="10"/>
    </font>
  </fonts>
  <fills count="11">
    <fill>
      <patternFill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0017365D"/>
      </patternFill>
    </fill>
    <fill>
      <patternFill patternType="solid">
        <fgColor rgb="00D9EAF7"/>
      </patternFill>
    </fill>
    <fill>
      <patternFill patternType="solid">
        <fgColor rgb="00E7E6E6"/>
      </patternFill>
    </fill>
    <fill>
      <patternFill patternType="solid">
        <fgColor rgb="00FCE4D6"/>
      </patternFill>
    </fill>
    <fill>
      <patternFill patternType="solid">
        <fgColor rgb="00FFFFFF"/>
      </patternFill>
    </fill>
    <fill>
      <patternFill patternType="solid">
        <fgColor rgb="00FFF2CC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rgb="FFB2B2B2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B2B2B2"/>
      </top>
      <bottom/>
      <diagonal/>
    </border>
    <border>
      <left/>
      <right/>
      <top style="thin">
        <color rgb="FFB2B2B2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B2B2B2"/>
      </right>
      <top style="thin">
        <color rgb="FFB2B2B2"/>
      </top>
      <bottom/>
      <diagonal/>
    </border>
    <border>
      <bottom style="thin">
        <color rgb="00B7C9D6"/>
      </bottom>
    </border>
  </borders>
  <cellStyleXfs count="2">
    <xf numFmtId="0" fontId="6" fillId="0" borderId="0"/>
    <xf numFmtId="0" fontId="6" fillId="2" borderId="2"/>
  </cellStyleXfs>
  <cellXfs count="169">
    <xf numFmtId="0" fontId="0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center"/>
    </xf>
    <xf numFmtId="2" fontId="2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left"/>
    </xf>
    <xf numFmtId="0" fontId="2" fillId="3" borderId="0" pivotButton="0" quotePrefix="0" xfId="0"/>
    <xf numFmtId="0" fontId="2" fillId="3" borderId="9" applyAlignment="1" pivotButton="0" quotePrefix="0" xfId="0">
      <alignment horizontal="right"/>
    </xf>
    <xf numFmtId="2" fontId="2" fillId="3" borderId="0" applyAlignment="1" pivotButton="0" quotePrefix="0" xfId="0">
      <alignment horizontal="center"/>
    </xf>
    <xf numFmtId="0" fontId="2" fillId="3" borderId="3" pivotButton="0" quotePrefix="0" xfId="0"/>
    <xf numFmtId="0" fontId="2" fillId="3" borderId="0" applyAlignment="1" pivotButton="0" quotePrefix="0" xfId="0">
      <alignment horizontal="center"/>
    </xf>
    <xf numFmtId="0" fontId="2" fillId="3" borderId="11" applyAlignment="1" pivotButton="0" quotePrefix="0" xfId="0">
      <alignment horizontal="right"/>
    </xf>
    <xf numFmtId="0" fontId="2" fillId="3" borderId="4" pivotButton="0" quotePrefix="0" xfId="0"/>
    <xf numFmtId="0" fontId="2" fillId="3" borderId="12" applyAlignment="1" pivotButton="0" quotePrefix="0" xfId="0">
      <alignment horizontal="right"/>
    </xf>
    <xf numFmtId="0" fontId="2" fillId="3" borderId="8" pivotButton="0" quotePrefix="0" xfId="0"/>
    <xf numFmtId="0" fontId="3" fillId="3" borderId="0" pivotButton="0" quotePrefix="0" xfId="0"/>
    <xf numFmtId="0" fontId="3" fillId="3" borderId="0" applyAlignment="1" pivotButton="0" quotePrefix="0" xfId="0">
      <alignment horizontal="right"/>
    </xf>
    <xf numFmtId="0" fontId="3" fillId="3" borderId="0" applyAlignment="1" pivotButton="0" quotePrefix="0" xfId="0">
      <alignment horizontal="center"/>
    </xf>
    <xf numFmtId="0" fontId="1" fillId="3" borderId="0" applyAlignment="1" pivotButton="0" quotePrefix="0" xfId="0">
      <alignment horizontal="right"/>
    </xf>
    <xf numFmtId="0" fontId="2" fillId="3" borderId="0" pivotButton="0" quotePrefix="0" xfId="0"/>
    <xf numFmtId="0" fontId="9" fillId="3" borderId="0" pivotButton="0" quotePrefix="0" xfId="0"/>
    <xf numFmtId="0" fontId="7" fillId="3" borderId="0" applyAlignment="1" pivotButton="0" quotePrefix="0" xfId="0">
      <alignment horizontal="right"/>
    </xf>
    <xf numFmtId="0" fontId="7" fillId="3" borderId="0" applyAlignment="1" pivotButton="0" quotePrefix="0" xfId="0">
      <alignment horizontal="left"/>
    </xf>
    <xf numFmtId="0" fontId="9" fillId="3" borderId="0" applyAlignment="1" pivotButton="0" quotePrefix="0" xfId="0">
      <alignment horizontal="right"/>
    </xf>
    <xf numFmtId="0" fontId="12" fillId="3" borderId="0" applyAlignment="1" pivotButton="0" quotePrefix="0" xfId="0">
      <alignment horizontal="right"/>
    </xf>
    <xf numFmtId="0" fontId="12" fillId="3" borderId="0" applyAlignment="1" pivotButton="0" quotePrefix="0" xfId="0">
      <alignment horizontal="center"/>
    </xf>
    <xf numFmtId="0" fontId="12" fillId="3" borderId="0" pivotButton="0" quotePrefix="0" xfId="0"/>
    <xf numFmtId="164" fontId="3" fillId="3" borderId="0" applyAlignment="1" pivotButton="0" quotePrefix="0" xfId="0">
      <alignment horizontal="center"/>
    </xf>
    <xf numFmtId="0" fontId="7" fillId="3" borderId="0" pivotButton="0" quotePrefix="0" xfId="0"/>
    <xf numFmtId="0" fontId="8" fillId="3" borderId="0" pivotButton="0" quotePrefix="0" xfId="0"/>
    <xf numFmtId="0" fontId="13" fillId="3" borderId="0" pivotButton="0" quotePrefix="0" xfId="0"/>
    <xf numFmtId="0" fontId="3" fillId="3" borderId="0" pivotButton="0" quotePrefix="0" xfId="0"/>
    <xf numFmtId="0" fontId="10" fillId="3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 wrapText="1"/>
    </xf>
    <xf numFmtId="0" fontId="7" fillId="3" borderId="0" applyAlignment="1" pivotButton="0" quotePrefix="0" xfId="0">
      <alignment horizontal="center"/>
    </xf>
    <xf numFmtId="0" fontId="2" fillId="3" borderId="0" applyAlignment="1" pivotButton="0" quotePrefix="0" xfId="0">
      <alignment horizontal="right"/>
    </xf>
    <xf numFmtId="0" fontId="3" fillId="0" borderId="0" applyAlignment="1" pivotButton="0" quotePrefix="0" xfId="0">
      <alignment horizontal="center"/>
    </xf>
    <xf numFmtId="0" fontId="10" fillId="3" borderId="0" pivotButton="0" quotePrefix="0" xfId="0"/>
    <xf numFmtId="0" fontId="2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horizontal="left" vertical="center" wrapText="1"/>
    </xf>
    <xf numFmtId="2" fontId="2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2" fontId="2" fillId="0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16" fillId="4" borderId="0" applyAlignment="1" pivotButton="0" quotePrefix="0" xfId="0">
      <alignment horizontal="center"/>
    </xf>
    <xf numFmtId="2" fontId="16" fillId="4" borderId="0" applyAlignment="1" pivotButton="0" quotePrefix="0" xfId="0">
      <alignment horizontal="center"/>
    </xf>
    <xf numFmtId="0" fontId="16" fillId="4" borderId="1" applyAlignment="1" pivotButton="0" quotePrefix="0" xfId="0">
      <alignment horizontal="center"/>
    </xf>
    <xf numFmtId="0" fontId="2" fillId="4" borderId="10" applyAlignment="1" pivotButton="0" quotePrefix="0" xfId="0">
      <alignment horizontal="center"/>
    </xf>
    <xf numFmtId="0" fontId="2" fillId="4" borderId="0" applyAlignment="1" pivotButton="0" quotePrefix="0" xfId="0">
      <alignment horizontal="center"/>
    </xf>
    <xf numFmtId="2" fontId="2" fillId="4" borderId="0" applyAlignment="1" pivotButton="0" quotePrefix="0" xfId="0">
      <alignment horizontal="center"/>
    </xf>
    <xf numFmtId="0" fontId="2" fillId="4" borderId="1" applyAlignment="1" pivotButton="0" quotePrefix="0" xfId="0">
      <alignment horizontal="center"/>
    </xf>
    <xf numFmtId="2" fontId="2" fillId="4" borderId="0" applyAlignment="1" pivotButton="0" quotePrefix="0" xfId="0">
      <alignment horizontal="center"/>
    </xf>
    <xf numFmtId="0" fontId="2" fillId="4" borderId="0" applyAlignment="1" pivotButton="0" quotePrefix="0" xfId="0">
      <alignment horizontal="center"/>
    </xf>
    <xf numFmtId="0" fontId="2" fillId="3" borderId="0" applyAlignment="1" pivotButton="0" quotePrefix="0" xfId="0">
      <alignment horizontal="center"/>
    </xf>
    <xf numFmtId="2" fontId="3" fillId="4" borderId="0" applyAlignment="1" pivotButton="0" quotePrefix="0" xfId="0">
      <alignment horizontal="center"/>
    </xf>
    <xf numFmtId="0" fontId="18" fillId="2" borderId="2" applyAlignment="1" pivotButton="0" quotePrefix="0" xfId="1">
      <alignment horizontal="center" vertical="center" wrapText="1"/>
    </xf>
    <xf numFmtId="0" fontId="19" fillId="0" borderId="0" pivotButton="0" quotePrefix="0" xfId="0"/>
    <xf numFmtId="0" fontId="19" fillId="3" borderId="0" pivotButton="0" quotePrefix="0" xfId="0"/>
    <xf numFmtId="0" fontId="21" fillId="3" borderId="0" applyAlignment="1" pivotButton="0" quotePrefix="0" xfId="0">
      <alignment horizontal="center"/>
    </xf>
    <xf numFmtId="0" fontId="22" fillId="3" borderId="0" applyAlignment="1" pivotButton="0" quotePrefix="0" xfId="0">
      <alignment horizontal="center"/>
    </xf>
    <xf numFmtId="0" fontId="19" fillId="3" borderId="0" applyAlignment="1" pivotButton="0" quotePrefix="0" xfId="0">
      <alignment horizontal="center"/>
    </xf>
    <xf numFmtId="2" fontId="21" fillId="3" borderId="0" applyAlignment="1" pivotButton="0" quotePrefix="0" xfId="0">
      <alignment horizontal="center"/>
    </xf>
    <xf numFmtId="0" fontId="20" fillId="3" borderId="0" applyAlignment="1" pivotButton="0" quotePrefix="0" xfId="0">
      <alignment horizontal="center"/>
    </xf>
    <xf numFmtId="0" fontId="19" fillId="3" borderId="0" applyAlignment="1" pivotButton="0" quotePrefix="0" xfId="0">
      <alignment horizontal="right"/>
    </xf>
    <xf numFmtId="0" fontId="19" fillId="4" borderId="0" applyAlignment="1" pivotButton="0" quotePrefix="0" xfId="0">
      <alignment horizontal="center"/>
    </xf>
    <xf numFmtId="2" fontId="19" fillId="4" borderId="0" applyAlignment="1" pivotButton="0" quotePrefix="0" xfId="0">
      <alignment horizontal="center"/>
    </xf>
    <xf numFmtId="0" fontId="19" fillId="0" borderId="0" applyAlignment="1" pivotButton="0" quotePrefix="0" xfId="0">
      <alignment horizontal="center"/>
    </xf>
    <xf numFmtId="165" fontId="19" fillId="3" borderId="0" pivotButton="0" quotePrefix="0" xfId="0"/>
    <xf numFmtId="0" fontId="24" fillId="3" borderId="0" pivotButton="0" quotePrefix="0" xfId="0"/>
    <xf numFmtId="0" fontId="19" fillId="3" borderId="0" applyAlignment="1" pivotButton="0" quotePrefix="0" xfId="0">
      <alignment horizontal="left"/>
    </xf>
    <xf numFmtId="0" fontId="25" fillId="3" borderId="0" pivotButton="0" quotePrefix="0" xfId="0"/>
    <xf numFmtId="0" fontId="19" fillId="0" borderId="0" applyAlignment="1" pivotButton="0" quotePrefix="0" xfId="0">
      <alignment horizontal="center"/>
    </xf>
    <xf numFmtId="0" fontId="19" fillId="4" borderId="0" pivotButton="0" quotePrefix="0" xfId="0"/>
    <xf numFmtId="0" fontId="26" fillId="3" borderId="0" pivotButton="0" quotePrefix="0" xfId="0"/>
    <xf numFmtId="0" fontId="19" fillId="0" borderId="0" applyAlignment="1" pivotButton="0" quotePrefix="0" xfId="0">
      <alignment horizontal="right"/>
    </xf>
    <xf numFmtId="0" fontId="25" fillId="3" borderId="0" applyAlignment="1" pivotButton="0" quotePrefix="0" xfId="0">
      <alignment horizontal="left"/>
    </xf>
    <xf numFmtId="0" fontId="20" fillId="3" borderId="0" pivotButton="0" quotePrefix="0" xfId="0"/>
    <xf numFmtId="0" fontId="20" fillId="3" borderId="0" applyAlignment="1" pivotButton="0" quotePrefix="0" xfId="0">
      <alignment horizontal="right"/>
    </xf>
    <xf numFmtId="0" fontId="19" fillId="3" borderId="1" pivotButton="0" quotePrefix="0" xfId="0"/>
    <xf numFmtId="0" fontId="27" fillId="3" borderId="0" pivotButton="0" quotePrefix="0" xfId="0"/>
    <xf numFmtId="0" fontId="25" fillId="3" borderId="0" applyAlignment="1" pivotButton="0" quotePrefix="0" xfId="0">
      <alignment horizontal="center"/>
    </xf>
    <xf numFmtId="0" fontId="25" fillId="3" borderId="0" applyAlignment="1" pivotButton="0" quotePrefix="0" xfId="0">
      <alignment horizontal="center"/>
    </xf>
    <xf numFmtId="2" fontId="27" fillId="3" borderId="0" pivotButton="0" quotePrefix="0" xfId="0"/>
    <xf numFmtId="164" fontId="19" fillId="3" borderId="0" applyAlignment="1" pivotButton="0" quotePrefix="0" xfId="0">
      <alignment horizontal="center"/>
    </xf>
    <xf numFmtId="0" fontId="29" fillId="3" borderId="0" pivotButton="0" quotePrefix="0" xfId="0"/>
    <xf numFmtId="0" fontId="24" fillId="3" borderId="0" applyAlignment="1" pivotButton="0" quotePrefix="0" xfId="0">
      <alignment horizontal="right"/>
    </xf>
    <xf numFmtId="0" fontId="24" fillId="3" borderId="0" applyAlignment="1" pivotButton="0" quotePrefix="0" xfId="0">
      <alignment horizontal="center"/>
    </xf>
    <xf numFmtId="0" fontId="21" fillId="3" borderId="0" pivotButton="0" quotePrefix="0" xfId="0"/>
    <xf numFmtId="0" fontId="20" fillId="0" borderId="0" pivotButton="0" quotePrefix="0" xfId="0"/>
    <xf numFmtId="2" fontId="19" fillId="3" borderId="0" applyAlignment="1" pivotButton="0" quotePrefix="0" xfId="0">
      <alignment horizontal="center"/>
    </xf>
    <xf numFmtId="164" fontId="19" fillId="3" borderId="0" applyAlignment="1" pivotButton="0" quotePrefix="0" xfId="0">
      <alignment horizontal="right"/>
    </xf>
    <xf numFmtId="164" fontId="31" fillId="3" borderId="0" pivotButton="0" quotePrefix="0" xfId="0"/>
    <xf numFmtId="2" fontId="19" fillId="0" borderId="0" applyAlignment="1" pivotButton="0" quotePrefix="0" xfId="0">
      <alignment horizontal="center"/>
    </xf>
    <xf numFmtId="0" fontId="32" fillId="3" borderId="0" pivotButton="0" quotePrefix="0" xfId="0"/>
    <xf numFmtId="0" fontId="19" fillId="3" borderId="0" pivotButton="0" quotePrefix="0" xfId="0"/>
    <xf numFmtId="0" fontId="21" fillId="3" borderId="0" applyAlignment="1" pivotButton="0" quotePrefix="0" xfId="0">
      <alignment horizontal="right"/>
    </xf>
    <xf numFmtId="165" fontId="19" fillId="3" borderId="0" applyAlignment="1" pivotButton="0" quotePrefix="0" xfId="0">
      <alignment horizontal="center"/>
    </xf>
    <xf numFmtId="0" fontId="25" fillId="3" borderId="0" applyAlignment="1" pivotButton="0" quotePrefix="0" xfId="0">
      <alignment horizontal="right"/>
    </xf>
    <xf numFmtId="0" fontId="34" fillId="3" borderId="0" pivotButton="0" quotePrefix="0" xfId="0"/>
    <xf numFmtId="0" fontId="35" fillId="3" borderId="0" pivotButton="0" quotePrefix="0" xfId="0"/>
    <xf numFmtId="0" fontId="35" fillId="3" borderId="0" applyAlignment="1" pivotButton="0" quotePrefix="0" xfId="0">
      <alignment horizontal="center"/>
    </xf>
    <xf numFmtId="164" fontId="25" fillId="3" borderId="0" applyAlignment="1" pivotButton="0" quotePrefix="0" xfId="0">
      <alignment horizontal="center"/>
    </xf>
    <xf numFmtId="2" fontId="25" fillId="3" borderId="0" applyAlignment="1" pivotButton="0" quotePrefix="0" xfId="0">
      <alignment horizontal="center"/>
    </xf>
    <xf numFmtId="0" fontId="40" fillId="3" borderId="0" pivotButton="0" quotePrefix="0" xfId="0"/>
    <xf numFmtId="2" fontId="42" fillId="3" borderId="0" applyAlignment="1" pivotButton="0" quotePrefix="0" xfId="0">
      <alignment horizontal="right"/>
    </xf>
    <xf numFmtId="0" fontId="39" fillId="3" borderId="0" pivotButton="0" quotePrefix="0" xfId="0"/>
    <xf numFmtId="0" fontId="40" fillId="3" borderId="0" applyAlignment="1" pivotButton="0" quotePrefix="0" xfId="0">
      <alignment horizontal="right"/>
    </xf>
    <xf numFmtId="0" fontId="43" fillId="3" borderId="0" pivotButton="0" quotePrefix="0" xfId="0"/>
    <xf numFmtId="164" fontId="25" fillId="3" borderId="0" pivotButton="0" quotePrefix="0" xfId="0"/>
    <xf numFmtId="0" fontId="40" fillId="3" borderId="0" applyAlignment="1" pivotButton="0" quotePrefix="0" xfId="0">
      <alignment horizontal="center"/>
    </xf>
    <xf numFmtId="0" fontId="44" fillId="3" borderId="0" pivotButton="0" quotePrefix="0" xfId="0"/>
    <xf numFmtId="164" fontId="20" fillId="3" borderId="0" applyAlignment="1" pivotButton="0" quotePrefix="0" xfId="0">
      <alignment horizontal="center"/>
    </xf>
    <xf numFmtId="164" fontId="20" fillId="3" borderId="0" pivotButton="0" quotePrefix="0" xfId="0"/>
    <xf numFmtId="164" fontId="43" fillId="3" borderId="0" applyAlignment="1" pivotButton="0" quotePrefix="0" xfId="0">
      <alignment horizontal="center"/>
    </xf>
    <xf numFmtId="0" fontId="19" fillId="3" borderId="0" applyAlignment="1" pivotButton="0" quotePrefix="0" xfId="0">
      <alignment horizontal="center"/>
    </xf>
    <xf numFmtId="2" fontId="19" fillId="3" borderId="0" applyAlignment="1" pivotButton="0" quotePrefix="0" xfId="0">
      <alignment horizontal="center"/>
    </xf>
    <xf numFmtId="0" fontId="25" fillId="3" borderId="0" applyAlignment="1" pivotButton="0" quotePrefix="0" xfId="0">
      <alignment horizontal="right"/>
    </xf>
    <xf numFmtId="0" fontId="37" fillId="3" borderId="0" applyAlignment="1" pivotButton="0" quotePrefix="0" xfId="0">
      <alignment horizontal="right"/>
    </xf>
    <xf numFmtId="2" fontId="37" fillId="3" borderId="0" applyAlignment="1" pivotButton="0" quotePrefix="0" xfId="0">
      <alignment horizontal="center"/>
    </xf>
    <xf numFmtId="0" fontId="44" fillId="3" borderId="0" applyAlignment="1" pivotButton="0" quotePrefix="0" xfId="0">
      <alignment horizontal="center"/>
    </xf>
    <xf numFmtId="0" fontId="28" fillId="3" borderId="0" applyAlignment="1" pivotButton="0" quotePrefix="0" xfId="0">
      <alignment horizontal="center"/>
    </xf>
    <xf numFmtId="0" fontId="19" fillId="3" borderId="0" applyAlignment="1" pivotButton="0" quotePrefix="0" xfId="0">
      <alignment horizontal="right"/>
    </xf>
    <xf numFmtId="0" fontId="27" fillId="3" borderId="0" applyAlignment="1" pivotButton="0" quotePrefix="0" xfId="0">
      <alignment horizontal="right"/>
    </xf>
    <xf numFmtId="0" fontId="40" fillId="3" borderId="0" applyAlignment="1" pivotButton="0" quotePrefix="0" xfId="0">
      <alignment horizontal="center"/>
    </xf>
    <xf numFmtId="0" fontId="25" fillId="3" borderId="0" applyAlignment="1" pivotButton="0" quotePrefix="0" xfId="0">
      <alignment horizontal="center"/>
    </xf>
    <xf numFmtId="0" fontId="19" fillId="0" borderId="1" applyAlignment="1" pivotButton="0" quotePrefix="0" xfId="0">
      <alignment horizontal="center"/>
    </xf>
    <xf numFmtId="0" fontId="19" fillId="0" borderId="13" applyAlignment="1" pivotButton="0" quotePrefix="0" xfId="0">
      <alignment horizontal="center"/>
    </xf>
    <xf numFmtId="0" fontId="17" fillId="3" borderId="0" applyAlignment="1" pivotButton="0" quotePrefix="0" xfId="0">
      <alignment horizontal="center"/>
    </xf>
    <xf numFmtId="0" fontId="20" fillId="3" borderId="0" applyAlignment="1" pivotButton="0" quotePrefix="0" xfId="0">
      <alignment horizontal="center"/>
    </xf>
    <xf numFmtId="0" fontId="19" fillId="0" borderId="0" applyAlignment="1" pivotButton="0" quotePrefix="0" xfId="0">
      <alignment horizontal="center" vertical="center"/>
    </xf>
    <xf numFmtId="0" fontId="19" fillId="3" borderId="0" applyAlignment="1" pivotButton="0" quotePrefix="0" xfId="0">
      <alignment horizontal="left" indent="5"/>
    </xf>
    <xf numFmtId="0" fontId="19" fillId="3" borderId="0" applyAlignment="1" pivotButton="0" quotePrefix="0" xfId="0">
      <alignment horizontal="center"/>
    </xf>
    <xf numFmtId="0" fontId="19" fillId="3" borderId="0" applyAlignment="1" pivotButton="0" quotePrefix="0" xfId="0">
      <alignment horizontal="center" vertical="center"/>
    </xf>
    <xf numFmtId="0" fontId="19" fillId="3" borderId="0" applyAlignment="1" pivotButton="0" quotePrefix="0" xfId="0">
      <alignment horizontal="center" vertical="center" wrapText="1"/>
    </xf>
    <xf numFmtId="0" fontId="7" fillId="3" borderId="0" applyAlignment="1" pivotButton="0" quotePrefix="0" xfId="0">
      <alignment horizontal="center"/>
    </xf>
    <xf numFmtId="0" fontId="14" fillId="3" borderId="0" applyAlignment="1" pivotButton="0" quotePrefix="0" xfId="0">
      <alignment horizontal="center"/>
    </xf>
    <xf numFmtId="0" fontId="13" fillId="3" borderId="0" applyAlignment="1" pivotButton="0" quotePrefix="0" xfId="0">
      <alignment horizontal="center"/>
    </xf>
    <xf numFmtId="0" fontId="2" fillId="3" borderId="0" applyAlignment="1" pivotButton="0" quotePrefix="0" xfId="0">
      <alignment horizontal="right"/>
    </xf>
    <xf numFmtId="0" fontId="2" fillId="3" borderId="0" applyAlignment="1" pivotButton="0" quotePrefix="0" xfId="0">
      <alignment horizontal="left"/>
    </xf>
    <xf numFmtId="0" fontId="7" fillId="3" borderId="2" applyAlignment="1" pivotButton="0" quotePrefix="0" xfId="1">
      <alignment horizontal="center"/>
    </xf>
    <xf numFmtId="0" fontId="7" fillId="3" borderId="5" applyAlignment="1" pivotButton="0" quotePrefix="0" xfId="1">
      <alignment horizontal="center"/>
    </xf>
    <xf numFmtId="0" fontId="7" fillId="3" borderId="6" applyAlignment="1" pivotButton="0" quotePrefix="0" xfId="1">
      <alignment horizontal="center"/>
    </xf>
    <xf numFmtId="0" fontId="7" fillId="3" borderId="7" applyAlignment="1" pivotButton="0" quotePrefix="0" xfId="1">
      <alignment horizontal="center"/>
    </xf>
    <xf numFmtId="0" fontId="15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45" fillId="5" borderId="0" applyAlignment="1" pivotButton="0" quotePrefix="0" xfId="0">
      <alignment vertical="center"/>
    </xf>
    <xf numFmtId="0" fontId="46" fillId="6" borderId="0" applyAlignment="1" pivotButton="0" quotePrefix="0" xfId="0">
      <alignment vertical="center" wrapText="1"/>
    </xf>
    <xf numFmtId="0" fontId="47" fillId="7" borderId="15" applyAlignment="1" pivotButton="0" quotePrefix="0" xfId="0">
      <alignment vertical="top" wrapText="1"/>
    </xf>
    <xf numFmtId="0" fontId="48" fillId="8" borderId="15" applyAlignment="1" pivotButton="0" quotePrefix="0" xfId="0">
      <alignment vertical="top" wrapText="1"/>
    </xf>
    <xf numFmtId="0" fontId="48" fillId="9" borderId="15" applyAlignment="1" pivotButton="0" quotePrefix="0" xfId="0">
      <alignment vertical="top" wrapText="1"/>
    </xf>
    <xf numFmtId="0" fontId="48" fillId="10" borderId="15" applyAlignment="1" pivotButton="0" quotePrefix="0" xfId="0">
      <alignment vertical="top" wrapText="1"/>
    </xf>
    <xf numFmtId="165" fontId="19" fillId="3" borderId="0" pivotButton="0" quotePrefix="0" xfId="0"/>
    <xf numFmtId="164" fontId="19" fillId="3" borderId="0" applyAlignment="1" pivotButton="0" quotePrefix="0" xfId="0">
      <alignment horizontal="center"/>
    </xf>
    <xf numFmtId="164" fontId="20" fillId="3" borderId="0" applyAlignment="1" pivotButton="0" quotePrefix="0" xfId="0">
      <alignment horizontal="center"/>
    </xf>
    <xf numFmtId="164" fontId="20" fillId="3" borderId="0" pivotButton="0" quotePrefix="0" xfId="0"/>
    <xf numFmtId="164" fontId="25" fillId="3" borderId="0" applyAlignment="1" pivotButton="0" quotePrefix="0" xfId="0">
      <alignment horizontal="center"/>
    </xf>
    <xf numFmtId="164" fontId="43" fillId="3" borderId="0" applyAlignment="1" pivotButton="0" quotePrefix="0" xfId="0">
      <alignment horizontal="center"/>
    </xf>
    <xf numFmtId="164" fontId="19" fillId="3" borderId="0" applyAlignment="1" pivotButton="0" quotePrefix="0" xfId="0">
      <alignment horizontal="right"/>
    </xf>
    <xf numFmtId="164" fontId="31" fillId="3" borderId="0" pivotButton="0" quotePrefix="0" xfId="0"/>
    <xf numFmtId="164" fontId="25" fillId="3" borderId="0" pivotButton="0" quotePrefix="0" xfId="0"/>
    <xf numFmtId="165" fontId="19" fillId="3" borderId="0" applyAlignment="1" pivotButton="0" quotePrefix="0" xfId="0">
      <alignment horizontal="center"/>
    </xf>
    <xf numFmtId="0" fontId="0" fillId="0" borderId="1" pivotButton="0" quotePrefix="0" xfId="0"/>
    <xf numFmtId="0" fontId="0" fillId="0" borderId="13" pivotButton="0" quotePrefix="0" xfId="0"/>
    <xf numFmtId="0" fontId="0" fillId="0" borderId="6" pivotButton="0" quotePrefix="0" xfId="0"/>
    <xf numFmtId="0" fontId="0" fillId="0" borderId="7" pivotButton="0" quotePrefix="0" xfId="0"/>
    <xf numFmtId="164" fontId="3" fillId="3" borderId="0" applyAlignment="1" pivotButton="0" quotePrefix="0" xfId="0">
      <alignment horizontal="center"/>
    </xf>
  </cellXfs>
  <cellStyles count="2">
    <cellStyle name="Normal" xfId="0" builtinId="0"/>
    <cellStyle name="Notas" xfId="1" builtinId="1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omments/comment1.xml><?xml version="1.0" encoding="utf-8"?>
<comments xmlns="http://schemas.openxmlformats.org/spreadsheetml/2006/main">
  <authors>
    <author>CivilGeeks</author>
    <author>SAHEP PERÚ</author>
  </authors>
  <commentList>
    <comment ref="D2" authorId="0" shapeId="0">
      <text>
        <t>Nota de revisión CivilGeeks: esta referencia es antigua. Verificar la normativa vigente y los criterios de diseño antes de usar resultados en un proyecto real. Esta nota no certifica ni corrige los cálculos.</t>
      </text>
    </comment>
    <comment ref="B10" authorId="1" shapeId="0">
      <text>
        <t>Espesor del Piso</t>
      </text>
    </comment>
    <comment ref="B13" authorId="1" shapeId="0">
      <text>
        <t>Para la Zapata</t>
      </text>
    </comment>
    <comment ref="B14" authorId="1" shapeId="0">
      <text>
        <t xml:space="preserve">Para la Columna
</t>
      </text>
    </comment>
  </commentList>
</comments>
</file>

<file path=xl/comments/comment2.xml><?xml version="1.0" encoding="utf-8"?>
<comments xmlns="http://schemas.openxmlformats.org/spreadsheetml/2006/main">
  <authors>
    <author>CivilGeeks</author>
    <author>SAHEP PERÚ</author>
  </authors>
  <commentList>
    <comment ref="E2" authorId="0" shapeId="0">
      <text>
        <t>Nota de revisión CivilGeeks: esta referencia es antigua. Verificar la normativa vigente y los criterios de diseño antes de usar resultados en un proyecto real. Esta nota no certifica ni corrige los cálculos.</t>
      </text>
    </comment>
    <comment ref="K4" authorId="1" shapeId="0">
      <text>
        <t>Altura del Relleno</t>
      </text>
    </comment>
    <comment ref="K6" authorId="1" shapeId="0">
      <text>
        <t>Espesor del Piso</t>
      </text>
    </comment>
    <comment ref="K9" authorId="1" shapeId="0">
      <text>
        <t>Para la Zapata</t>
      </text>
    </comment>
  </commentList>
</comments>
</file>

<file path=xl/comments/comment3.xml><?xml version="1.0" encoding="utf-8"?>
<comments xmlns="http://schemas.openxmlformats.org/spreadsheetml/2006/main">
  <authors>
    <author>CivilGeeks</author>
  </authors>
  <commentList>
    <comment ref="C2" authorId="0" shapeId="0">
      <text>
        <t>Nota de revisión CivilGeeks: esta referencia es antigua. Verificar la normativa vigente y los criterios de diseño antes de usar resultados en un proyecto real. Esta nota no certifica ni corrige los cálculos.</t>
      </text>
    </comment>
    <comment ref="C8" authorId="0" shapeId="0">
      <text>
        <t>Nota de revisión CivilGeeks: esta referencia es antigua. Verificar la normativa vigente y los criterios de diseño antes de usar resultados en un proyecto real. Esta nota no certifica ni corrige los cálculos.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/Relationships>
</file>

<file path=xl/drawings/_rels/drawing2.xml.rels><Relationships xmlns="http://schemas.openxmlformats.org/package/2006/relationships"><Relationship Type="http://schemas.openxmlformats.org/officeDocument/2006/relationships/image" Target="/xl/media/image4.png" Id="rId1"/><Relationship Type="http://schemas.openxmlformats.org/officeDocument/2006/relationships/image" Target="/xl/media/image5.png" Id="rId2"/><Relationship Type="http://schemas.openxmlformats.org/officeDocument/2006/relationships/image" Target="/xl/media/image6.png" Id="rId3"/><Relationship Type="http://schemas.openxmlformats.org/officeDocument/2006/relationships/image" Target="/xl/media/image7.png" Id="rId4"/><Relationship Type="http://schemas.openxmlformats.org/officeDocument/2006/relationships/image" Target="/xl/media/image8.png" Id="rId5"/><Relationship Type="http://schemas.openxmlformats.org/officeDocument/2006/relationships/image" Target="/xl/media/image9.png" Id="rId6"/><Relationship Type="http://schemas.openxmlformats.org/officeDocument/2006/relationships/image" Target="/xl/media/image10.png" Id="rId7"/></Relationships>
</file>

<file path=xl/drawings/drawing1.xml><?xml version="1.0" encoding="utf-8"?>
<wsDr xmlns="http://schemas.openxmlformats.org/drawingml/2006/spreadsheetDrawing">
  <twoCellAnchor editAs="oneCell">
    <from>
      <col>3</col>
      <colOff>390525</colOff>
      <row>1</row>
      <rowOff>163261</rowOff>
    </from>
    <to>
      <col>10</col>
      <colOff>313309</colOff>
      <row>16</row>
      <rowOff>28575</rowOff>
    </to>
    <pic>
      <nvPicPr>
        <cNvPr id="4" name="3 Imagen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2200275" y="496636"/>
          <a:ext cx="2942209" cy="2351339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  <twoCellAnchor editAs="oneCell">
    <from>
      <col>7</col>
      <colOff>48648</colOff>
      <row>20</row>
      <rowOff>59210</rowOff>
    </from>
    <to>
      <col>11</col>
      <colOff>542925</colOff>
      <row>30</row>
      <rowOff>76931</rowOff>
    </to>
    <pic>
      <nvPicPr>
        <cNvPr id="5" name="4 Imagen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xfrm xmlns:a="http://schemas.openxmlformats.org/drawingml/2006/main">
          <a:off x="3649098" y="3412010"/>
          <a:ext cx="2170677" cy="1513146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  <twoCellAnchor editAs="oneCell">
    <from>
      <col>6</col>
      <colOff>123826</colOff>
      <row>35</row>
      <rowOff>15543</rowOff>
    </from>
    <to>
      <col>11</col>
      <colOff>628650</colOff>
      <row>46</row>
      <rowOff>96003</rowOff>
    </to>
    <pic>
      <nvPicPr>
        <cNvPr id="16" name="15 Imagen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xfrm xmlns:a="http://schemas.openxmlformats.org/drawingml/2006/main">
          <a:off x="3486151" y="5501943"/>
          <a:ext cx="2486024" cy="1766385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2</col>
      <colOff>200026</colOff>
      <row>11</row>
      <rowOff>38100</rowOff>
    </from>
    <to>
      <col>11</col>
      <colOff>285750</colOff>
      <row>33</row>
      <rowOff>35212</rowOff>
    </to>
    <pic>
      <nvPicPr>
        <cNvPr id="4" name="3 Imagen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876301" y="2019300"/>
          <a:ext cx="4476749" cy="3454687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  <twoCellAnchor editAs="oneCell">
    <from>
      <col>6</col>
      <colOff>209549</colOff>
      <row>35</row>
      <rowOff>168789</rowOff>
    </from>
    <to>
      <col>13</col>
      <colOff>219075</colOff>
      <row>45</row>
      <rowOff>160209</rowOff>
    </to>
    <pic>
      <nvPicPr>
        <cNvPr id="5" name="4 Imagen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xfrm xmlns:a="http://schemas.openxmlformats.org/drawingml/2006/main">
          <a:off x="2752724" y="6093339"/>
          <a:ext cx="3257551" cy="1639245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  <twoCellAnchor editAs="oneCell">
    <from>
      <col>1</col>
      <colOff>348035</colOff>
      <row>64</row>
      <rowOff>28575</rowOff>
    </from>
    <to>
      <col>11</col>
      <colOff>381000</colOff>
      <row>75</row>
      <rowOff>155037</rowOff>
    </to>
    <pic>
      <nvPicPr>
        <cNvPr id="11" name="10 Imagen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3"/>
        <a:stretch xmlns:a="http://schemas.openxmlformats.org/drawingml/2006/main">
          <a:fillRect/>
        </a:stretch>
      </blipFill>
      <spPr>
        <a:xfrm xmlns:a="http://schemas.openxmlformats.org/drawingml/2006/main">
          <a:off x="348035" y="10506075"/>
          <a:ext cx="4795465" cy="1907637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  <twoCellAnchor editAs="oneCell">
    <from>
      <col>3</col>
      <colOff>76149</colOff>
      <row>95</row>
      <rowOff>57150</rowOff>
    </from>
    <to>
      <col>11</col>
      <colOff>390525</colOff>
      <row>104</row>
      <rowOff>96910</rowOff>
    </to>
    <pic>
      <nvPicPr>
        <cNvPr id="16" name="15 Imagen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xfrm xmlns:a="http://schemas.openxmlformats.org/drawingml/2006/main">
          <a:off x="895299" y="15640050"/>
          <a:ext cx="4257726" cy="1497085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  <twoCellAnchor editAs="oneCell">
    <from>
      <col>0</col>
      <colOff>123824</colOff>
      <row>120</row>
      <rowOff>29167</rowOff>
    </from>
    <to>
      <col>13</col>
      <colOff>171449</colOff>
      <row>135</row>
      <rowOff>78988</rowOff>
    </to>
    <pic>
      <nvPicPr>
        <cNvPr id="19" name="18 Imagen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5"/>
        <a:stretch xmlns:a="http://schemas.openxmlformats.org/drawingml/2006/main">
          <a:fillRect/>
        </a:stretch>
      </blipFill>
      <spPr>
        <a:xfrm xmlns:a="http://schemas.openxmlformats.org/drawingml/2006/main">
          <a:off x="123824" y="19831642"/>
          <a:ext cx="5838825" cy="2478696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  <twoCellAnchor editAs="oneCell">
    <from>
      <col>7</col>
      <colOff>219074</colOff>
      <row>198</row>
      <rowOff>80493</rowOff>
    </from>
    <to>
      <col>14</col>
      <colOff>46614</colOff>
      <row>206</row>
      <rowOff>105227</rowOff>
    </to>
    <pic>
      <nvPicPr>
        <cNvPr id="8" name="7 Imagen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xfrm xmlns:a="http://schemas.openxmlformats.org/drawingml/2006/main">
          <a:off x="3286124" y="32351193"/>
          <a:ext cx="3247015" cy="1320134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  <twoCellAnchor editAs="oneCell">
    <from>
      <col>3</col>
      <colOff>9525</colOff>
      <row>201</row>
      <rowOff>20562</rowOff>
    </from>
    <to>
      <col>5</col>
      <colOff>323850</colOff>
      <row>210</row>
      <rowOff>48369</rowOff>
    </to>
    <pic>
      <nvPicPr>
        <cNvPr id="23" name="22 Imagen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xfrm xmlns:a="http://schemas.openxmlformats.org/drawingml/2006/main">
          <a:off x="828675" y="34224837"/>
          <a:ext cx="1285875" cy="1485132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05" customWidth="1" min="2" max="2"/>
  </cols>
  <sheetData>
    <row r="1" ht="32" customHeight="1">
      <c r="A1" s="148" t="inlineStr">
        <is>
          <t>CIVILGEEKS | REVISIÓN DEL ARCHIVO</t>
        </is>
      </c>
    </row>
    <row r="2" ht="28" customHeight="1">
      <c r="A2" s="149" t="inlineStr">
        <is>
          <t>Zapata aislada y combinada — versión revisada para publicación educativa</t>
        </is>
      </c>
    </row>
    <row r="4" ht="48" customHeight="1">
      <c r="A4" s="150" t="inlineStr">
        <is>
          <t>ESTADO</t>
        </is>
      </c>
      <c r="B4" s="151" t="inlineStr">
        <is>
          <t>REVISIÓN PRELIMINAR. No es una certificación ni una validación estructural de los resultados.</t>
        </is>
      </c>
    </row>
    <row r="5" ht="48" customHeight="1">
      <c r="A5" s="150" t="inlineStr">
        <is>
          <t>Qué se revisó</t>
        </is>
      </c>
      <c r="B5" s="152" t="inlineStr">
        <is>
          <t>Se inspeccionaron las hojas, fórmulas visibles, referencias normativas escritas y la organización general del libro.</t>
        </is>
      </c>
    </row>
    <row r="6" ht="62" customHeight="1">
      <c r="A6" s="150" t="inlineStr">
        <is>
          <t>Qué se conservó</t>
        </is>
      </c>
      <c r="B6" s="152" t="inlineStr">
        <is>
          <t>Se conservaron las hojas y fórmulas originales. No se cambiaron ecuaciones ni resultados de diseño porque hacerlo sin una verificación independiente podría introducir errores estructurales.</t>
        </is>
      </c>
    </row>
    <row r="7" ht="62" customHeight="1">
      <c r="A7" s="150" t="inlineStr">
        <is>
          <t>Normativa indicada</t>
        </is>
      </c>
      <c r="B7" s="153" t="inlineStr">
        <is>
          <t>Las hojas principales mencionan ACI 318S-08. Es una referencia antigua; antes de usar resultados en un proyecto real, un profesional debe revisar y actualizar los criterios conforme a la normativa vigente aplicable.</t>
        </is>
      </c>
    </row>
    <row r="8" ht="48" customHeight="1">
      <c r="A8" s="150" t="inlineStr">
        <is>
          <t>Hojas del libro</t>
        </is>
      </c>
      <c r="B8" s="152" t="inlineStr">
        <is>
          <t>El archivo contiene «Zap. Centrica Aislada», «Combinada Rectangular», «Parametros» y dos hojas de datos («Hoja1» y «Hoja2») que parecen corresponder a datos de otro modelo. Verificar si estas dos últimas hojas deben acompañar al recurso.</t>
        </is>
      </c>
    </row>
    <row r="9" ht="48" customHeight="1">
      <c r="A9" s="150" t="inlineStr">
        <is>
          <t>Autoría</t>
        </is>
      </c>
      <c r="B9" s="152" t="inlineStr">
        <is>
          <t>La autoría del archivo no ha podido confirmarse con el contenido disponible. No atribuirlo a una persona sin una fuente verificable.</t>
        </is>
      </c>
    </row>
    <row r="10" ht="62" customHeight="1">
      <c r="A10" s="150" t="inlineStr">
        <is>
          <t>Uso recomendado</t>
        </is>
      </c>
      <c r="B10" s="151" t="inlineStr">
        <is>
          <t>Solo como material de estudio y revisión. No usar para construir ni tomar decisiones de diseño sin comprobar cálculos, hipótesis, unidades, cargas, suelo, punzonamiento, cortante, flexión, anclajes y normativa.</t>
        </is>
      </c>
    </row>
    <row r="11" ht="48" customHeight="1">
      <c r="A11" s="150" t="inlineStr">
        <is>
          <t>Descargo de responsabilidad</t>
        </is>
      </c>
      <c r="B11" s="152" t="inlineStr">
        <is>
          <t>CivilGeeks comparte este archivo con fines educativos. El usuario debe verificar de forma independiente su exactitud y adecuación. CivilGeeks no certifica ni garantiza sus resultados de diseño.</t>
        </is>
      </c>
    </row>
    <row r="12" ht="48" customHeight="1">
      <c r="A12" s="150" t="inlineStr">
        <is>
          <t>Contacto de derechos</t>
        </is>
      </c>
      <c r="B12" s="152" t="inlineStr">
        <is>
          <t>Si eres titular de derechos sobre este material y solicitas su revisión o retiro, escribe a civilgeeks@gmail.com.</t>
        </is>
      </c>
    </row>
    <row r="13" ht="62" customHeight="1">
      <c r="A13" s="150" t="inlineStr">
        <is>
          <t>Siguiente revisión técnica</t>
        </is>
      </c>
      <c r="B13" s="151" t="inlineStr">
        <is>
          <t>Para validar realmente el cálculo se necesita contrastar cada ecuación con un procedimiento de referencia, probar varios casos conocidos y comparar resultados con cálculo independiente o software confiable. Esta revisión no se ha completado.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P167"/>
  <sheetViews>
    <sheetView zoomScaleNormal="100" workbookViewId="0">
      <selection activeCell="C13" sqref="C13"/>
    </sheetView>
  </sheetViews>
  <sheetFormatPr baseColWidth="10" defaultRowHeight="12.75"/>
  <cols>
    <col width="5.85546875" customWidth="1" style="57" min="1" max="1"/>
    <col width="11.5703125" bestFit="1" customWidth="1" style="57" min="2" max="2"/>
    <col width="9.140625" bestFit="1" customWidth="1" style="57" min="3" max="3"/>
    <col width="8.140625" customWidth="1" style="57" min="4" max="4"/>
    <col width="11.5703125" bestFit="1" customWidth="1" style="57" min="5" max="5"/>
    <col width="4.42578125" customWidth="1" style="57" min="6" max="6"/>
    <col width="4.5703125" customWidth="1" style="57" min="7" max="7"/>
    <col width="8.5703125" customWidth="1" style="57" min="8" max="8"/>
    <col width="3.5703125" customWidth="1" style="57" min="9" max="9"/>
    <col width="4.42578125" bestFit="1" customWidth="1" style="57" min="10" max="10"/>
    <col width="8.5703125" customWidth="1" style="57" min="11" max="11"/>
    <col width="13.28515625" customWidth="1" style="57" min="12" max="12"/>
    <col width="11.42578125" customWidth="1" style="57" min="13" max="13"/>
    <col width="12" bestFit="1" customWidth="1" style="57" min="14" max="14"/>
    <col width="11" customWidth="1" style="57" min="15" max="15"/>
    <col width="11.42578125" customWidth="1" style="57" min="16" max="16"/>
    <col width="8" customWidth="1" style="57" min="17" max="17"/>
    <col width="7" customWidth="1" style="57" min="18" max="19"/>
    <col width="7.28515625" customWidth="1" style="57" min="20" max="20"/>
    <col width="9" customWidth="1" style="57" min="21" max="21"/>
    <col hidden="1" width="8.7109375" customWidth="1" style="57" min="22" max="22"/>
    <col width="11.42578125" customWidth="1" style="57" min="23" max="16384"/>
  </cols>
  <sheetData>
    <row r="1" ht="36" customHeight="1">
      <c r="A1" s="128" t="inlineStr">
        <is>
          <t>ZAPATA CENTRICA</t>
        </is>
      </c>
      <c r="M1" s="56" t="inlineStr">
        <is>
          <t>Columna</t>
        </is>
      </c>
      <c r="N1" s="56" t="inlineStr">
        <is>
          <t>Peso Total   (Kg)</t>
        </is>
      </c>
      <c r="O1" s="56" t="inlineStr">
        <is>
          <t>PD Total     (Kg)</t>
        </is>
      </c>
      <c r="P1" s="56" t="inlineStr">
        <is>
          <t>PL Total     (Kg)</t>
        </is>
      </c>
      <c r="Q1" s="56" t="inlineStr">
        <is>
          <t>t1           (m)</t>
        </is>
      </c>
      <c r="R1" s="56" t="inlineStr">
        <is>
          <t>t2      (m)</t>
        </is>
      </c>
      <c r="S1" s="56" t="inlineStr">
        <is>
          <t>T         (m)</t>
        </is>
      </c>
      <c r="T1" s="56" t="inlineStr">
        <is>
          <t>S        (m)</t>
        </is>
      </c>
      <c r="U1" s="56" t="inlineStr">
        <is>
          <t>PERALTE   (m)</t>
        </is>
      </c>
      <c r="V1" s="56" t="inlineStr">
        <is>
          <t>Doblar Ref</t>
        </is>
      </c>
      <c r="W1" s="56" t="inlineStr">
        <is>
          <t>Rigidez Resorte (Tn/m)</t>
        </is>
      </c>
    </row>
    <row r="2" ht="15" customHeight="1">
      <c r="A2" s="95" t="n"/>
      <c r="B2" s="95" t="n"/>
      <c r="C2" s="95" t="n"/>
      <c r="D2" s="129" t="inlineStr">
        <is>
          <t>ACI 318S-08</t>
        </is>
      </c>
      <c r="J2" s="95" t="n"/>
      <c r="K2" s="95" t="n"/>
      <c r="L2" s="95" t="n"/>
      <c r="M2" s="59" t="inlineStr">
        <is>
          <t>1B</t>
        </is>
      </c>
      <c r="N2" s="59">
        <f>SUM(O2:P2)</f>
        <v/>
      </c>
      <c r="O2" s="60">
        <f>AC3</f>
        <v/>
      </c>
      <c r="P2" s="60">
        <f>AM3</f>
        <v/>
      </c>
      <c r="Q2" s="116" t="n">
        <v>0.3</v>
      </c>
      <c r="R2" s="116" t="n">
        <v>0.75</v>
      </c>
      <c r="S2" s="62" t="n">
        <v>1.75</v>
      </c>
      <c r="T2" s="62" t="n">
        <v>1.75</v>
      </c>
      <c r="U2" s="62" t="n">
        <v>0.3</v>
      </c>
      <c r="V2" s="132" t="inlineStr">
        <is>
          <t>SI</t>
        </is>
      </c>
      <c r="W2" s="116">
        <f>PRODUCT(2.5,S2,T2,10000)/10</f>
        <v/>
      </c>
      <c r="X2" s="57" t="inlineStr">
        <is>
          <t>Story</t>
        </is>
      </c>
      <c r="Y2" s="57" t="inlineStr">
        <is>
          <t>Point</t>
        </is>
      </c>
      <c r="Z2" s="57" t="inlineStr">
        <is>
          <t>Load</t>
        </is>
      </c>
      <c r="AA2" s="57" t="inlineStr">
        <is>
          <t>FX</t>
        </is>
      </c>
      <c r="AB2" s="57" t="inlineStr">
        <is>
          <t>FY</t>
        </is>
      </c>
      <c r="AC2" s="57" t="inlineStr">
        <is>
          <t>FZ</t>
        </is>
      </c>
      <c r="AD2" s="57" t="inlineStr">
        <is>
          <t>MX</t>
        </is>
      </c>
      <c r="AE2" s="57" t="inlineStr">
        <is>
          <t>MY</t>
        </is>
      </c>
      <c r="AF2" s="57" t="inlineStr">
        <is>
          <t>MZ</t>
        </is>
      </c>
      <c r="AH2" s="57" t="inlineStr">
        <is>
          <t>Story</t>
        </is>
      </c>
      <c r="AI2" s="57" t="inlineStr">
        <is>
          <t>Point</t>
        </is>
      </c>
      <c r="AJ2" s="57" t="inlineStr">
        <is>
          <t>Load</t>
        </is>
      </c>
      <c r="AK2" s="57" t="inlineStr">
        <is>
          <t>FX</t>
        </is>
      </c>
      <c r="AL2" s="57" t="inlineStr">
        <is>
          <t>FY</t>
        </is>
      </c>
      <c r="AM2" s="57" t="inlineStr">
        <is>
          <t>FZ</t>
        </is>
      </c>
      <c r="AN2" s="57" t="inlineStr">
        <is>
          <t>MX</t>
        </is>
      </c>
      <c r="AO2" s="57" t="inlineStr">
        <is>
          <t>MY</t>
        </is>
      </c>
      <c r="AP2" s="57" t="inlineStr">
        <is>
          <t>MZ</t>
        </is>
      </c>
    </row>
    <row r="3" ht="15" customHeight="1">
      <c r="A3" s="71" t="inlineStr">
        <is>
          <t>Col:</t>
        </is>
      </c>
      <c r="B3" s="129" t="inlineStr">
        <is>
          <t>3A</t>
        </is>
      </c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59" t="inlineStr">
        <is>
          <t>1C</t>
        </is>
      </c>
      <c r="N3" s="59">
        <f>SUM(O3:P3)</f>
        <v/>
      </c>
      <c r="O3" s="60">
        <f>AC4</f>
        <v/>
      </c>
      <c r="P3" s="60">
        <f>AM4</f>
        <v/>
      </c>
      <c r="Q3" s="116" t="n">
        <v>0.3</v>
      </c>
      <c r="R3" s="116" t="n">
        <v>0.75</v>
      </c>
      <c r="S3" s="62" t="n">
        <v>1.75</v>
      </c>
      <c r="T3" s="62" t="n">
        <v>1.75</v>
      </c>
      <c r="U3" s="62" t="n">
        <v>0.3</v>
      </c>
      <c r="V3" s="132" t="inlineStr">
        <is>
          <t>SI</t>
        </is>
      </c>
      <c r="W3" s="116">
        <f>PRODUCT(2.5,S3,T3,10000)/10</f>
        <v/>
      </c>
      <c r="X3" s="57" t="inlineStr">
        <is>
          <t>BASE</t>
        </is>
      </c>
      <c r="Y3" s="57" t="n">
        <v>6</v>
      </c>
      <c r="Z3" s="57" t="inlineStr">
        <is>
          <t>PD</t>
        </is>
      </c>
      <c r="AA3" s="57" t="n">
        <v>-2123.44</v>
      </c>
      <c r="AB3" s="57" t="n">
        <v>-275.39</v>
      </c>
      <c r="AC3" s="57" t="n">
        <v>73091.48</v>
      </c>
      <c r="AD3" s="57" t="n">
        <v>162.178</v>
      </c>
      <c r="AE3" s="57" t="n">
        <v>-1524.115</v>
      </c>
      <c r="AF3" s="57" t="n">
        <v>-0.195</v>
      </c>
      <c r="AH3" s="57" t="inlineStr">
        <is>
          <t>BASE</t>
        </is>
      </c>
      <c r="AI3" s="57" t="n">
        <v>6</v>
      </c>
      <c r="AJ3" s="57" t="inlineStr">
        <is>
          <t>PL</t>
        </is>
      </c>
      <c r="AK3" s="57" t="n">
        <v>-973.11</v>
      </c>
      <c r="AL3" s="57" t="n">
        <v>-124.07</v>
      </c>
      <c r="AM3" s="57" t="n">
        <v>23817.8</v>
      </c>
      <c r="AN3" s="57" t="n">
        <v>72.937</v>
      </c>
      <c r="AO3" s="57" t="n">
        <v>-698.479</v>
      </c>
      <c r="AP3" s="57" t="n">
        <v>-0.115</v>
      </c>
    </row>
    <row r="4">
      <c r="A4" s="117" t="inlineStr">
        <is>
          <t>Pd  =</t>
        </is>
      </c>
      <c r="B4" s="65">
        <f>VLOOKUP(B3,M2:P69,3,FALSE)</f>
        <v/>
      </c>
      <c r="C4" s="71" t="inlineStr">
        <is>
          <t>Kg</t>
        </is>
      </c>
      <c r="D4" s="95" t="n"/>
      <c r="E4" s="95" t="n"/>
      <c r="F4" s="95" t="n"/>
      <c r="G4" s="95" t="n"/>
      <c r="H4" s="95" t="n"/>
      <c r="I4" s="95" t="n"/>
      <c r="J4" s="95" t="n"/>
      <c r="K4" s="95" t="n"/>
      <c r="L4" s="95" t="n"/>
      <c r="M4" s="59" t="inlineStr">
        <is>
          <t>2A</t>
        </is>
      </c>
      <c r="N4" s="59">
        <f>SUM(O4:P4)</f>
        <v/>
      </c>
      <c r="O4" s="60">
        <f>AC5</f>
        <v/>
      </c>
      <c r="P4" s="60">
        <f>AM5</f>
        <v/>
      </c>
      <c r="Q4" s="116" t="n">
        <v>0.75</v>
      </c>
      <c r="R4" s="116" t="n">
        <v>0.3</v>
      </c>
      <c r="S4" s="62" t="n">
        <v>1.75</v>
      </c>
      <c r="T4" s="62" t="n">
        <v>1.75</v>
      </c>
      <c r="U4" s="62" t="n">
        <v>0.3</v>
      </c>
      <c r="V4" s="132" t="inlineStr">
        <is>
          <t>SI</t>
        </is>
      </c>
      <c r="W4" s="116">
        <f>PRODUCT(2.5,S4,T4,10000)/10</f>
        <v/>
      </c>
      <c r="X4" s="57" t="inlineStr">
        <is>
          <t>BASE</t>
        </is>
      </c>
      <c r="Y4" s="57" t="n">
        <v>7</v>
      </c>
      <c r="Z4" s="57" t="inlineStr">
        <is>
          <t>PD</t>
        </is>
      </c>
      <c r="AA4" s="57" t="n">
        <v>-1246.72</v>
      </c>
      <c r="AB4" s="57" t="n">
        <v>198.67</v>
      </c>
      <c r="AC4" s="57" t="n">
        <v>71488.08</v>
      </c>
      <c r="AD4" s="57" t="n">
        <v>-138.388</v>
      </c>
      <c r="AE4" s="57" t="n">
        <v>-897.621</v>
      </c>
      <c r="AF4" s="57" t="n">
        <v>-0.195</v>
      </c>
      <c r="AH4" s="57" t="inlineStr">
        <is>
          <t>BASE</t>
        </is>
      </c>
      <c r="AI4" s="57" t="n">
        <v>7</v>
      </c>
      <c r="AJ4" s="57" t="inlineStr">
        <is>
          <t>PL</t>
        </is>
      </c>
      <c r="AK4" s="57" t="n">
        <v>-624.3099999999999</v>
      </c>
      <c r="AL4" s="57" t="n">
        <v>92.64</v>
      </c>
      <c r="AM4" s="57" t="n">
        <v>24781.59</v>
      </c>
      <c r="AN4" s="57" t="n">
        <v>-64.857</v>
      </c>
      <c r="AO4" s="57" t="n">
        <v>-449.44</v>
      </c>
      <c r="AP4" s="57" t="n">
        <v>-0.115</v>
      </c>
    </row>
    <row r="5">
      <c r="A5" s="117" t="inlineStr">
        <is>
          <t>Pl  =</t>
        </is>
      </c>
      <c r="B5" s="65">
        <f>VLOOKUP(B3,M2:P69,4,FALSE)</f>
        <v/>
      </c>
      <c r="C5" s="71" t="inlineStr">
        <is>
          <t>Kg</t>
        </is>
      </c>
      <c r="D5" s="95" t="n"/>
      <c r="E5" s="95" t="n"/>
      <c r="F5" s="95" t="n"/>
      <c r="G5" s="95" t="n"/>
      <c r="H5" s="95" t="n"/>
      <c r="I5" s="95" t="n"/>
      <c r="J5" s="95" t="n"/>
      <c r="K5" s="95" t="n"/>
      <c r="L5" s="95" t="n"/>
      <c r="M5" s="59" t="inlineStr">
        <is>
          <t>4A</t>
        </is>
      </c>
      <c r="N5" s="59">
        <f>SUM(O5:P5)</f>
        <v/>
      </c>
      <c r="O5" s="60">
        <f>AC6</f>
        <v/>
      </c>
      <c r="P5" s="60">
        <f>AM6</f>
        <v/>
      </c>
      <c r="Q5" s="116" t="n">
        <v>0.95</v>
      </c>
      <c r="R5" s="116" t="n">
        <v>0.3</v>
      </c>
      <c r="S5" s="62" t="n">
        <v>1.75</v>
      </c>
      <c r="T5" s="62" t="n">
        <v>1.75</v>
      </c>
      <c r="U5" s="62" t="n">
        <v>0.3</v>
      </c>
      <c r="V5" s="132" t="inlineStr">
        <is>
          <t>SI</t>
        </is>
      </c>
      <c r="W5" s="116">
        <f>PRODUCT(2.5,S5,T5,10000)/10</f>
        <v/>
      </c>
      <c r="X5" s="57" t="inlineStr">
        <is>
          <t>BASE</t>
        </is>
      </c>
      <c r="Y5" s="57" t="n">
        <v>12</v>
      </c>
      <c r="Z5" s="57" t="inlineStr">
        <is>
          <t>PD</t>
        </is>
      </c>
      <c r="AA5" s="57" t="n">
        <v>-38.29</v>
      </c>
      <c r="AB5" s="57" t="n">
        <v>1113.5</v>
      </c>
      <c r="AC5" s="57" t="n">
        <v>85011.74000000001</v>
      </c>
      <c r="AD5" s="57" t="n">
        <v>-801.235</v>
      </c>
      <c r="AE5" s="57" t="n">
        <v>-24.105</v>
      </c>
      <c r="AF5" s="57" t="n">
        <v>-0.195</v>
      </c>
      <c r="AH5" s="57" t="inlineStr">
        <is>
          <t>BASE</t>
        </is>
      </c>
      <c r="AI5" s="57" t="n">
        <v>12</v>
      </c>
      <c r="AJ5" s="57" t="inlineStr">
        <is>
          <t>PL</t>
        </is>
      </c>
      <c r="AK5" s="57" t="n">
        <v>-9.289999999999999</v>
      </c>
      <c r="AL5" s="57" t="n">
        <v>569.62</v>
      </c>
      <c r="AM5" s="57" t="n">
        <v>29262.12</v>
      </c>
      <c r="AN5" s="57" t="n">
        <v>-409.884</v>
      </c>
      <c r="AO5" s="57" t="n">
        <v>-5.664</v>
      </c>
      <c r="AP5" s="57" t="n">
        <v>-0.115</v>
      </c>
    </row>
    <row r="6">
      <c r="A6" s="117" t="inlineStr">
        <is>
          <t>Df  =</t>
        </is>
      </c>
      <c r="B6" s="66" t="n">
        <v>1.2</v>
      </c>
      <c r="C6" s="71" t="inlineStr">
        <is>
          <t>m</t>
        </is>
      </c>
      <c r="D6" s="95" t="n"/>
      <c r="E6" s="95" t="n"/>
      <c r="F6" s="95" t="n"/>
      <c r="G6" s="95" t="n"/>
      <c r="H6" s="95" t="n"/>
      <c r="I6" s="95" t="n"/>
      <c r="J6" s="95" t="n"/>
      <c r="K6" s="95" t="n"/>
      <c r="L6" s="95" t="n"/>
      <c r="M6" s="59" t="inlineStr">
        <is>
          <t>2D</t>
        </is>
      </c>
      <c r="N6" s="59">
        <f>SUM(O6:P6)</f>
        <v/>
      </c>
      <c r="O6" s="60">
        <f>AC7</f>
        <v/>
      </c>
      <c r="P6" s="60">
        <f>AM7</f>
        <v/>
      </c>
      <c r="Q6" s="116" t="n">
        <v>0.95</v>
      </c>
      <c r="R6" s="116" t="n">
        <v>0.3</v>
      </c>
      <c r="S6" s="62" t="n">
        <v>1.75</v>
      </c>
      <c r="T6" s="62" t="n">
        <v>1.75</v>
      </c>
      <c r="U6" s="62" t="n">
        <v>0.3</v>
      </c>
      <c r="V6" s="132" t="inlineStr">
        <is>
          <t>SI</t>
        </is>
      </c>
      <c r="W6" s="116">
        <f>PRODUCT(2.5,S6,T6,10000)/10</f>
        <v/>
      </c>
      <c r="X6" s="57" t="inlineStr">
        <is>
          <t>BASE</t>
        </is>
      </c>
      <c r="Y6" s="57" t="n">
        <v>14</v>
      </c>
      <c r="Z6" s="57" t="inlineStr">
        <is>
          <t>PD</t>
        </is>
      </c>
      <c r="AA6" s="57" t="n">
        <v>-727.04</v>
      </c>
      <c r="AB6" s="57" t="n">
        <v>830.23</v>
      </c>
      <c r="AC6" s="57" t="n">
        <v>71359.49000000001</v>
      </c>
      <c r="AD6" s="57" t="n">
        <v>-596.644</v>
      </c>
      <c r="AE6" s="57" t="n">
        <v>-432.078</v>
      </c>
      <c r="AF6" s="57" t="n">
        <v>-0.304</v>
      </c>
      <c r="AH6" s="57" t="inlineStr">
        <is>
          <t>BASE</t>
        </is>
      </c>
      <c r="AI6" s="57" t="n">
        <v>14</v>
      </c>
      <c r="AJ6" s="57" t="inlineStr">
        <is>
          <t>PL</t>
        </is>
      </c>
      <c r="AK6" s="57" t="n">
        <v>-327.73</v>
      </c>
      <c r="AL6" s="57" t="n">
        <v>424.84</v>
      </c>
      <c r="AM6" s="57" t="n">
        <v>21544.07</v>
      </c>
      <c r="AN6" s="57" t="n">
        <v>-305.359</v>
      </c>
      <c r="AO6" s="57" t="n">
        <v>-194.715</v>
      </c>
      <c r="AP6" s="57" t="n">
        <v>-0.211</v>
      </c>
    </row>
    <row r="7">
      <c r="A7" s="117" t="inlineStr">
        <is>
          <t>S/C  =</t>
        </is>
      </c>
      <c r="B7" s="65" t="n">
        <v>500</v>
      </c>
      <c r="C7" s="71" t="inlineStr">
        <is>
          <t>Kg/m²</t>
        </is>
      </c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59" t="inlineStr">
        <is>
          <t>10D</t>
        </is>
      </c>
      <c r="N7" s="59">
        <f>SUM(O7:P7)</f>
        <v/>
      </c>
      <c r="O7" s="60">
        <f>AC8</f>
        <v/>
      </c>
      <c r="P7" s="60">
        <f>AM8</f>
        <v/>
      </c>
      <c r="Q7" s="116" t="n">
        <v>0.95</v>
      </c>
      <c r="R7" s="116" t="n">
        <v>0.3</v>
      </c>
      <c r="S7" s="62" t="n">
        <v>1.75</v>
      </c>
      <c r="T7" s="62" t="n">
        <v>1.75</v>
      </c>
      <c r="U7" s="62" t="n">
        <v>0.3</v>
      </c>
      <c r="V7" s="132" t="inlineStr">
        <is>
          <t>SI</t>
        </is>
      </c>
      <c r="W7" s="116">
        <f>PRODUCT(2.5,S7,T7,10000)/10</f>
        <v/>
      </c>
      <c r="X7" s="57" t="inlineStr">
        <is>
          <t>BASE</t>
        </is>
      </c>
      <c r="Y7" s="57" t="n">
        <v>15</v>
      </c>
      <c r="Z7" s="57" t="inlineStr">
        <is>
          <t>PD</t>
        </is>
      </c>
      <c r="AA7" s="57" t="n">
        <v>503.08</v>
      </c>
      <c r="AB7" s="57" t="n">
        <v>839.41</v>
      </c>
      <c r="AC7" s="57" t="n">
        <v>84873.8</v>
      </c>
      <c r="AD7" s="57" t="n">
        <v>-604.5549999999999</v>
      </c>
      <c r="AE7" s="57" t="n">
        <v>300.476</v>
      </c>
      <c r="AF7" s="57" t="n">
        <v>-0.304</v>
      </c>
      <c r="AH7" s="57" t="inlineStr">
        <is>
          <t>BASE</t>
        </is>
      </c>
      <c r="AI7" s="57" t="n">
        <v>15</v>
      </c>
      <c r="AJ7" s="57" t="inlineStr">
        <is>
          <t>PL</t>
        </is>
      </c>
      <c r="AK7" s="57" t="n">
        <v>248.2</v>
      </c>
      <c r="AL7" s="57" t="n">
        <v>430.91</v>
      </c>
      <c r="AM7" s="57" t="n">
        <v>27088.38</v>
      </c>
      <c r="AN7" s="57" t="n">
        <v>-310.336</v>
      </c>
      <c r="AO7" s="57" t="n">
        <v>148.261</v>
      </c>
      <c r="AP7" s="57" t="n">
        <v>-0.211</v>
      </c>
    </row>
    <row r="8">
      <c r="A8" s="117" t="inlineStr">
        <is>
          <t>t1  =</t>
        </is>
      </c>
      <c r="B8" s="66">
        <f>VLOOKUP(B3,M2:R69,5,FALSE)</f>
        <v/>
      </c>
      <c r="C8" s="71" t="inlineStr">
        <is>
          <t>m</t>
        </is>
      </c>
      <c r="D8" s="95" t="n"/>
      <c r="E8" s="95" t="n"/>
      <c r="F8" s="95" t="n"/>
      <c r="G8" s="95" t="n"/>
      <c r="H8" s="95" t="n"/>
      <c r="I8" s="95" t="n"/>
      <c r="J8" s="95" t="n"/>
      <c r="K8" s="95" t="n"/>
      <c r="L8" s="95" t="n"/>
      <c r="M8" s="59" t="inlineStr">
        <is>
          <t>5B</t>
        </is>
      </c>
      <c r="N8" s="59">
        <f>SUM(O8:P8)</f>
        <v/>
      </c>
      <c r="O8" s="60">
        <f>AC9</f>
        <v/>
      </c>
      <c r="P8" s="60">
        <f>AM9</f>
        <v/>
      </c>
      <c r="Q8" s="116" t="n">
        <v>0.75</v>
      </c>
      <c r="R8" s="116" t="n">
        <v>0.3</v>
      </c>
      <c r="S8" s="62" t="n">
        <v>1.75</v>
      </c>
      <c r="T8" s="62" t="n">
        <v>1.75</v>
      </c>
      <c r="U8" s="62" t="n">
        <v>0.3</v>
      </c>
      <c r="V8" s="132" t="inlineStr">
        <is>
          <t>SI</t>
        </is>
      </c>
      <c r="W8" s="116">
        <f>PRODUCT(2.5,S8,T8,10000)/10</f>
        <v/>
      </c>
      <c r="X8" s="57" t="inlineStr">
        <is>
          <t>BASE</t>
        </is>
      </c>
      <c r="Y8" s="57" t="n">
        <v>17</v>
      </c>
      <c r="Z8" s="57" t="inlineStr">
        <is>
          <t>PD</t>
        </is>
      </c>
      <c r="AA8" s="57" t="n">
        <v>-162.25</v>
      </c>
      <c r="AB8" s="57" t="n">
        <v>731.8</v>
      </c>
      <c r="AC8" s="57" t="n">
        <v>65757.52</v>
      </c>
      <c r="AD8" s="57" t="n">
        <v>-526.417</v>
      </c>
      <c r="AE8" s="57" t="n">
        <v>-95.846</v>
      </c>
      <c r="AF8" s="57" t="n">
        <v>-0.304</v>
      </c>
      <c r="AH8" s="57" t="inlineStr">
        <is>
          <t>BASE</t>
        </is>
      </c>
      <c r="AI8" s="57" t="n">
        <v>17</v>
      </c>
      <c r="AJ8" s="57" t="inlineStr">
        <is>
          <t>PL</t>
        </is>
      </c>
      <c r="AK8" s="57" t="n">
        <v>-53.69</v>
      </c>
      <c r="AL8" s="57" t="n">
        <v>379.1</v>
      </c>
      <c r="AM8" s="57" t="n">
        <v>19863.83</v>
      </c>
      <c r="AN8" s="57" t="n">
        <v>-272.735</v>
      </c>
      <c r="AO8" s="57" t="n">
        <v>-31.569</v>
      </c>
      <c r="AP8" s="57" t="n">
        <v>-0.211</v>
      </c>
    </row>
    <row r="9">
      <c r="A9" s="117" t="inlineStr">
        <is>
          <t>t2  =</t>
        </is>
      </c>
      <c r="B9" s="66">
        <f>VLOOKUP(B3,M2:R69,6,FALSE)</f>
        <v/>
      </c>
      <c r="C9" s="71" t="inlineStr">
        <is>
          <t>m</t>
        </is>
      </c>
      <c r="D9" s="95" t="n"/>
      <c r="E9" s="95" t="n"/>
      <c r="F9" s="95" t="n"/>
      <c r="G9" s="95" t="n"/>
      <c r="H9" s="95" t="n"/>
      <c r="I9" s="95" t="n"/>
      <c r="J9" s="95" t="n"/>
      <c r="K9" s="95" t="n"/>
      <c r="L9" s="95" t="n"/>
      <c r="M9" s="59" t="inlineStr">
        <is>
          <t>5C</t>
        </is>
      </c>
      <c r="N9" s="59">
        <f>SUM(O9:P9)</f>
        <v/>
      </c>
      <c r="O9" s="60">
        <f>AC10</f>
        <v/>
      </c>
      <c r="P9" s="60">
        <f>AM10</f>
        <v/>
      </c>
      <c r="Q9" s="116" t="n">
        <v>0.75</v>
      </c>
      <c r="R9" s="116" t="n">
        <v>0.3</v>
      </c>
      <c r="S9" s="62" t="n">
        <v>1.75</v>
      </c>
      <c r="T9" s="62" t="n">
        <v>1.75</v>
      </c>
      <c r="U9" s="62" t="n">
        <v>0.3</v>
      </c>
      <c r="V9" s="132" t="inlineStr">
        <is>
          <t>SI</t>
        </is>
      </c>
      <c r="W9" s="116">
        <f>PRODUCT(2.5,S9,T9,10000)/10</f>
        <v/>
      </c>
      <c r="X9" s="57" t="inlineStr">
        <is>
          <t>BASE</t>
        </is>
      </c>
      <c r="Y9" s="57" t="n">
        <v>18</v>
      </c>
      <c r="Z9" s="57" t="inlineStr">
        <is>
          <t>PD</t>
        </is>
      </c>
      <c r="AA9" s="57" t="n">
        <v>-441.5</v>
      </c>
      <c r="AB9" s="57" t="n">
        <v>738.0599999999999</v>
      </c>
      <c r="AC9" s="57" t="n">
        <v>64683.4</v>
      </c>
      <c r="AD9" s="57" t="n">
        <v>-530.826</v>
      </c>
      <c r="AE9" s="57" t="n">
        <v>-285.386</v>
      </c>
      <c r="AF9" s="57" t="n">
        <v>-0.224</v>
      </c>
      <c r="AH9" s="57" t="inlineStr">
        <is>
          <t>BASE</t>
        </is>
      </c>
      <c r="AI9" s="57" t="n">
        <v>18</v>
      </c>
      <c r="AJ9" s="57" t="inlineStr">
        <is>
          <t>PL</t>
        </is>
      </c>
      <c r="AK9" s="57" t="n">
        <v>-212.71</v>
      </c>
      <c r="AL9" s="57" t="n">
        <v>389.28</v>
      </c>
      <c r="AM9" s="57" t="n">
        <v>23682.68</v>
      </c>
      <c r="AN9" s="57" t="n">
        <v>-279.986</v>
      </c>
      <c r="AO9" s="57" t="n">
        <v>-137.472</v>
      </c>
      <c r="AP9" s="57" t="n">
        <v>-0.156</v>
      </c>
    </row>
    <row r="10">
      <c r="A10" s="117" t="inlineStr">
        <is>
          <t>hc  =</t>
        </is>
      </c>
      <c r="B10" s="66" t="n">
        <v>0.2</v>
      </c>
      <c r="C10" s="71" t="inlineStr">
        <is>
          <t>m</t>
        </is>
      </c>
      <c r="D10" s="95" t="n"/>
      <c r="E10" s="95" t="n"/>
      <c r="F10" s="95" t="n"/>
      <c r="G10" s="95" t="n"/>
      <c r="H10" s="95" t="n"/>
      <c r="I10" s="95" t="n"/>
      <c r="J10" s="95" t="n"/>
      <c r="K10" s="95" t="n"/>
      <c r="L10" s="95" t="n"/>
      <c r="M10" s="59" t="inlineStr">
        <is>
          <t>3A</t>
        </is>
      </c>
      <c r="N10" s="59">
        <f>SUM(O10:P10)</f>
        <v/>
      </c>
      <c r="O10" s="60">
        <f>AC11</f>
        <v/>
      </c>
      <c r="P10" s="60">
        <f>AM11</f>
        <v/>
      </c>
      <c r="Q10" s="116" t="n">
        <v>0.75</v>
      </c>
      <c r="R10" s="116" t="n">
        <v>0.3</v>
      </c>
      <c r="S10" s="62" t="n">
        <v>2.3</v>
      </c>
      <c r="T10" s="62" t="n">
        <v>2.35</v>
      </c>
      <c r="U10" s="62" t="n">
        <v>0.3</v>
      </c>
      <c r="V10" s="132" t="inlineStr">
        <is>
          <t>SI</t>
        </is>
      </c>
      <c r="W10" s="116">
        <f>PRODUCT(2.5,S10,T10,10000)/10</f>
        <v/>
      </c>
      <c r="X10" s="57" t="inlineStr">
        <is>
          <t>BASE</t>
        </is>
      </c>
      <c r="Y10" s="57" t="n">
        <v>19</v>
      </c>
      <c r="Z10" s="57" t="inlineStr">
        <is>
          <t>PD</t>
        </is>
      </c>
      <c r="AA10" s="57" t="n">
        <v>228.39</v>
      </c>
      <c r="AB10" s="57" t="n">
        <v>731.76</v>
      </c>
      <c r="AC10" s="57" t="n">
        <v>65640.59</v>
      </c>
      <c r="AD10" s="57" t="n">
        <v>-526.705</v>
      </c>
      <c r="AE10" s="57" t="n">
        <v>148.317</v>
      </c>
      <c r="AF10" s="57" t="n">
        <v>-0.224</v>
      </c>
      <c r="AH10" s="57" t="inlineStr">
        <is>
          <t>BASE</t>
        </is>
      </c>
      <c r="AI10" s="57" t="n">
        <v>19</v>
      </c>
      <c r="AJ10" s="57" t="inlineStr">
        <is>
          <t>PL</t>
        </is>
      </c>
      <c r="AK10" s="57" t="n">
        <v>112.89</v>
      </c>
      <c r="AL10" s="57" t="n">
        <v>388.03</v>
      </c>
      <c r="AM10" s="57" t="n">
        <v>23985.48</v>
      </c>
      <c r="AN10" s="57" t="n">
        <v>-279.289</v>
      </c>
      <c r="AO10" s="57" t="n">
        <v>73.327</v>
      </c>
      <c r="AP10" s="57" t="n">
        <v>-0.156</v>
      </c>
    </row>
    <row r="11">
      <c r="A11" s="117" t="inlineStr">
        <is>
          <t>ϒm  =</t>
        </is>
      </c>
      <c r="B11" s="65" t="n">
        <v>1900</v>
      </c>
      <c r="C11" s="71" t="inlineStr">
        <is>
          <t>Kg/m³</t>
        </is>
      </c>
      <c r="D11" s="95" t="n"/>
      <c r="E11" s="95" t="n"/>
      <c r="F11" s="95" t="n"/>
      <c r="G11" s="95" t="n"/>
      <c r="H11" s="95" t="n"/>
      <c r="I11" s="95" t="n"/>
      <c r="J11" s="95" t="n"/>
      <c r="K11" s="95" t="n"/>
      <c r="L11" s="95" t="n"/>
      <c r="M11" s="59" t="inlineStr">
        <is>
          <t>3D</t>
        </is>
      </c>
      <c r="N11" s="59">
        <f>SUM(O11:P11)</f>
        <v/>
      </c>
      <c r="O11" s="60">
        <f>AC12</f>
        <v/>
      </c>
      <c r="P11" s="60">
        <f>AM12</f>
        <v/>
      </c>
      <c r="Q11" s="116" t="n">
        <v>0.3</v>
      </c>
      <c r="R11" s="116" t="n">
        <v>0.75</v>
      </c>
      <c r="S11" s="62" t="n">
        <v>2.3</v>
      </c>
      <c r="T11" s="62" t="n">
        <v>2.35</v>
      </c>
      <c r="U11" s="62" t="n">
        <v>0.3</v>
      </c>
      <c r="V11" s="132" t="inlineStr">
        <is>
          <t>SI</t>
        </is>
      </c>
      <c r="W11" s="116">
        <f>PRODUCT(2.5,S11,T11,10000)/10</f>
        <v/>
      </c>
      <c r="X11" s="57" t="inlineStr">
        <is>
          <t>BASE</t>
        </is>
      </c>
      <c r="Y11" s="57" t="n">
        <v>21</v>
      </c>
      <c r="Z11" s="57" t="inlineStr">
        <is>
          <t>PD</t>
        </is>
      </c>
      <c r="AA11" s="57" t="n">
        <v>-283.1</v>
      </c>
      <c r="AB11" s="57" t="n">
        <v>454.22</v>
      </c>
      <c r="AC11" s="57" t="n">
        <v>42417.92</v>
      </c>
      <c r="AD11" s="57" t="n">
        <v>-326.672</v>
      </c>
      <c r="AE11" s="57" t="n">
        <v>-183.01</v>
      </c>
      <c r="AF11" s="57" t="n">
        <v>-0.224</v>
      </c>
      <c r="AH11" s="57" t="inlineStr">
        <is>
          <t>BASE</t>
        </is>
      </c>
      <c r="AI11" s="57" t="n">
        <v>21</v>
      </c>
      <c r="AJ11" s="57" t="inlineStr">
        <is>
          <t>PL</t>
        </is>
      </c>
      <c r="AK11" s="57" t="n">
        <v>-113.14</v>
      </c>
      <c r="AL11" s="57" t="n">
        <v>242.63</v>
      </c>
      <c r="AM11" s="57" t="n">
        <v>13527.36</v>
      </c>
      <c r="AN11" s="57" t="n">
        <v>-174.522</v>
      </c>
      <c r="AO11" s="57" t="n">
        <v>-73.101</v>
      </c>
      <c r="AP11" s="57" t="n">
        <v>-0.156</v>
      </c>
    </row>
    <row r="12">
      <c r="A12" s="117" t="inlineStr">
        <is>
          <t>σt  =</t>
        </is>
      </c>
      <c r="B12" s="66" t="n">
        <v>0.9</v>
      </c>
      <c r="C12" s="71" t="inlineStr">
        <is>
          <t>Kg/cm²</t>
        </is>
      </c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59" t="inlineStr">
        <is>
          <t>2B</t>
        </is>
      </c>
      <c r="N12" s="59">
        <f>SUM(O12:P12)</f>
        <v/>
      </c>
      <c r="O12" s="60">
        <f>AC13</f>
        <v/>
      </c>
      <c r="P12" s="60">
        <f>AM13</f>
        <v/>
      </c>
      <c r="Q12" s="116" t="n">
        <v>0.3</v>
      </c>
      <c r="R12" s="116" t="n">
        <v>0.75</v>
      </c>
      <c r="S12" s="62" t="n">
        <v>2.75</v>
      </c>
      <c r="T12" s="62" t="n">
        <v>2.8</v>
      </c>
      <c r="U12" s="62" t="n">
        <v>0.3</v>
      </c>
      <c r="V12" s="132" t="inlineStr">
        <is>
          <t>SI</t>
        </is>
      </c>
      <c r="W12" s="116">
        <f>PRODUCT(2.5,S12,T12,10000)/10</f>
        <v/>
      </c>
      <c r="X12" s="57" t="inlineStr">
        <is>
          <t>BASE</t>
        </is>
      </c>
      <c r="Y12" s="57" t="n">
        <v>24</v>
      </c>
      <c r="Z12" s="57" t="inlineStr">
        <is>
          <t>PD</t>
        </is>
      </c>
      <c r="AA12" s="57" t="n">
        <v>216.81</v>
      </c>
      <c r="AB12" s="57" t="n">
        <v>156.98</v>
      </c>
      <c r="AC12" s="57" t="n">
        <v>38541.74</v>
      </c>
      <c r="AD12" s="57" t="n">
        <v>-100.121</v>
      </c>
      <c r="AE12" s="57" t="n">
        <v>154.655</v>
      </c>
      <c r="AF12" s="57" t="n">
        <v>-0.224</v>
      </c>
      <c r="AH12" s="57" t="inlineStr">
        <is>
          <t>BASE</t>
        </is>
      </c>
      <c r="AI12" s="57" t="n">
        <v>24</v>
      </c>
      <c r="AJ12" s="57" t="inlineStr">
        <is>
          <t>PL</t>
        </is>
      </c>
      <c r="AK12" s="57" t="n">
        <v>105.54</v>
      </c>
      <c r="AL12" s="57" t="n">
        <v>103.05</v>
      </c>
      <c r="AM12" s="57" t="n">
        <v>9893.91</v>
      </c>
      <c r="AN12" s="57" t="n">
        <v>-66.001</v>
      </c>
      <c r="AO12" s="57" t="n">
        <v>75.08</v>
      </c>
      <c r="AP12" s="57" t="n">
        <v>-0.156</v>
      </c>
    </row>
    <row r="13">
      <c r="A13" s="117" t="inlineStr">
        <is>
          <t>f'c  =</t>
        </is>
      </c>
      <c r="B13" s="65" t="n">
        <v>210</v>
      </c>
      <c r="C13" s="71" t="inlineStr">
        <is>
          <t>Kg/cm²</t>
        </is>
      </c>
      <c r="D13" s="95" t="n"/>
      <c r="E13" s="95" t="n"/>
      <c r="F13" s="95" t="n"/>
      <c r="G13" s="95" t="n"/>
      <c r="H13" s="95" t="n"/>
      <c r="I13" s="95" t="n"/>
      <c r="J13" s="95" t="n"/>
      <c r="K13" s="95" t="n"/>
      <c r="L13" s="95" t="n"/>
      <c r="M13" s="59" t="inlineStr">
        <is>
          <t>2C</t>
        </is>
      </c>
      <c r="N13" s="59">
        <f>SUM(O13:P13)</f>
        <v/>
      </c>
      <c r="O13" s="60">
        <f>AC14</f>
        <v/>
      </c>
      <c r="P13" s="60">
        <f>AM14</f>
        <v/>
      </c>
      <c r="Q13" s="116" t="n">
        <v>0.3</v>
      </c>
      <c r="R13" s="116" t="n">
        <v>0.75</v>
      </c>
      <c r="S13" s="62" t="n">
        <v>2.75</v>
      </c>
      <c r="T13" s="62" t="n">
        <v>2.8</v>
      </c>
      <c r="U13" s="62" t="n">
        <v>0.3</v>
      </c>
      <c r="V13" s="132" t="inlineStr">
        <is>
          <t>SI</t>
        </is>
      </c>
      <c r="W13" s="116">
        <f>PRODUCT(2.5,S13,T13,10000)/10</f>
        <v/>
      </c>
      <c r="X13" s="57" t="inlineStr">
        <is>
          <t>BASE</t>
        </is>
      </c>
      <c r="Y13" s="57" t="n">
        <v>25</v>
      </c>
      <c r="Z13" s="57" t="inlineStr">
        <is>
          <t>PD</t>
        </is>
      </c>
      <c r="AA13" s="57" t="n">
        <v>394.11</v>
      </c>
      <c r="AB13" s="57" t="n">
        <v>-541.8</v>
      </c>
      <c r="AC13" s="57" t="n">
        <v>47291.83</v>
      </c>
      <c r="AD13" s="57" t="n">
        <v>354.18</v>
      </c>
      <c r="AE13" s="57" t="n">
        <v>287.375</v>
      </c>
      <c r="AF13" s="57" t="n">
        <v>-0.195</v>
      </c>
      <c r="AH13" s="57" t="inlineStr">
        <is>
          <t>BASE</t>
        </is>
      </c>
      <c r="AI13" s="57" t="n">
        <v>25</v>
      </c>
      <c r="AJ13" s="57" t="inlineStr">
        <is>
          <t>PL</t>
        </is>
      </c>
      <c r="AK13" s="57" t="n">
        <v>180.24</v>
      </c>
      <c r="AL13" s="57" t="n">
        <v>-236.89</v>
      </c>
      <c r="AM13" s="57" t="n">
        <v>13020.35</v>
      </c>
      <c r="AN13" s="57" t="n">
        <v>154.921</v>
      </c>
      <c r="AO13" s="57" t="n">
        <v>131.345</v>
      </c>
      <c r="AP13" s="57" t="n">
        <v>-0.115</v>
      </c>
    </row>
    <row r="14">
      <c r="A14" s="117" t="inlineStr">
        <is>
          <t>f'c  =</t>
        </is>
      </c>
      <c r="B14" s="65" t="n">
        <v>280</v>
      </c>
      <c r="C14" s="71" t="inlineStr">
        <is>
          <t>Kg/cm²</t>
        </is>
      </c>
      <c r="D14" s="95" t="n"/>
      <c r="E14" s="95" t="n"/>
      <c r="F14" s="95" t="n"/>
      <c r="G14" s="95" t="n"/>
      <c r="H14" s="95" t="n"/>
      <c r="I14" s="95" t="n"/>
      <c r="J14" s="95" t="n"/>
      <c r="K14" s="95" t="n"/>
      <c r="L14" s="95" t="n"/>
      <c r="M14" s="59" t="inlineStr">
        <is>
          <t>4B</t>
        </is>
      </c>
      <c r="N14" s="59">
        <f>SUM(O14:P14)</f>
        <v/>
      </c>
      <c r="O14" s="60">
        <f>AC15</f>
        <v/>
      </c>
      <c r="P14" s="60">
        <f>AM15</f>
        <v/>
      </c>
      <c r="Q14" s="116" t="n">
        <v>0.75</v>
      </c>
      <c r="R14" s="116" t="n">
        <v>0.3</v>
      </c>
      <c r="S14" s="62" t="n">
        <v>2.75</v>
      </c>
      <c r="T14" s="62" t="n">
        <v>2.8</v>
      </c>
      <c r="U14" s="62" t="n">
        <v>0.3</v>
      </c>
      <c r="V14" s="132" t="inlineStr">
        <is>
          <t>SI</t>
        </is>
      </c>
      <c r="W14" s="116">
        <f>PRODUCT(2.5,S14,T14,10000)/10</f>
        <v/>
      </c>
      <c r="X14" s="57" t="inlineStr">
        <is>
          <t>BASE</t>
        </is>
      </c>
      <c r="Y14" s="57" t="n">
        <v>26</v>
      </c>
      <c r="Z14" s="57" t="inlineStr">
        <is>
          <t>PD</t>
        </is>
      </c>
      <c r="AA14" s="57" t="n">
        <v>585.1900000000001</v>
      </c>
      <c r="AB14" s="57" t="n">
        <v>13.39</v>
      </c>
      <c r="AC14" s="57" t="n">
        <v>59920.02</v>
      </c>
      <c r="AD14" s="57" t="n">
        <v>-4.263</v>
      </c>
      <c r="AE14" s="57" t="n">
        <v>420.525</v>
      </c>
      <c r="AF14" s="57" t="n">
        <v>-0.195</v>
      </c>
      <c r="AH14" s="57" t="inlineStr">
        <is>
          <t>BASE</t>
        </is>
      </c>
      <c r="AI14" s="57" t="n">
        <v>26</v>
      </c>
      <c r="AJ14" s="57" t="inlineStr">
        <is>
          <t>PL</t>
        </is>
      </c>
      <c r="AK14" s="57" t="n">
        <v>292.44</v>
      </c>
      <c r="AL14" s="57" t="n">
        <v>6.11</v>
      </c>
      <c r="AM14" s="57" t="n">
        <v>21912.1</v>
      </c>
      <c r="AN14" s="57" t="n">
        <v>-1.753</v>
      </c>
      <c r="AO14" s="57" t="n">
        <v>210.159</v>
      </c>
      <c r="AP14" s="57" t="n">
        <v>-0.115</v>
      </c>
    </row>
    <row r="15">
      <c r="A15" s="117" t="inlineStr">
        <is>
          <t>fy  =</t>
        </is>
      </c>
      <c r="B15" s="65" t="n">
        <v>4200</v>
      </c>
      <c r="C15" s="71" t="inlineStr">
        <is>
          <t>Kg/cm²</t>
        </is>
      </c>
      <c r="D15" s="95" t="n"/>
      <c r="E15" s="95" t="n"/>
      <c r="F15" s="95" t="n"/>
      <c r="G15" s="95" t="n"/>
      <c r="H15" s="95" t="n"/>
      <c r="I15" s="95" t="n"/>
      <c r="J15" s="95" t="n"/>
      <c r="K15" s="95" t="n"/>
      <c r="L15" s="95" t="n"/>
      <c r="M15" s="59" t="inlineStr">
        <is>
          <t>4C</t>
        </is>
      </c>
      <c r="N15" s="59">
        <f>SUM(O15:P15)</f>
        <v/>
      </c>
      <c r="O15" s="60">
        <f>AC16</f>
        <v/>
      </c>
      <c r="P15" s="60">
        <f>AM16</f>
        <v/>
      </c>
      <c r="Q15" s="116" t="n">
        <v>0.75</v>
      </c>
      <c r="R15" s="116" t="n">
        <v>0.3</v>
      </c>
      <c r="S15" s="62" t="n">
        <v>2.75</v>
      </c>
      <c r="T15" s="62" t="n">
        <v>2.8</v>
      </c>
      <c r="U15" s="62" t="n">
        <v>0.3</v>
      </c>
      <c r="V15" s="132" t="n"/>
      <c r="W15" s="116">
        <f>PRODUCT(2.5,S15,T15,10000)/10</f>
        <v/>
      </c>
      <c r="X15" s="57" t="inlineStr">
        <is>
          <t>BASE</t>
        </is>
      </c>
      <c r="Y15" s="57" t="n">
        <v>29</v>
      </c>
      <c r="Z15" s="57" t="inlineStr">
        <is>
          <t>PD</t>
        </is>
      </c>
      <c r="AA15" s="57" t="n">
        <v>395.28</v>
      </c>
      <c r="AB15" s="57" t="n">
        <v>-356.45</v>
      </c>
      <c r="AC15" s="57" t="n">
        <v>50241.33</v>
      </c>
      <c r="AD15" s="57" t="n">
        <v>256.495</v>
      </c>
      <c r="AE15" s="57" t="n">
        <v>255.912</v>
      </c>
      <c r="AF15" s="57" t="n">
        <v>-0.195</v>
      </c>
      <c r="AH15" s="57" t="inlineStr">
        <is>
          <t>BASE</t>
        </is>
      </c>
      <c r="AI15" s="57" t="n">
        <v>29</v>
      </c>
      <c r="AJ15" s="57" t="inlineStr">
        <is>
          <t>PL</t>
        </is>
      </c>
      <c r="AK15" s="57" t="n">
        <v>161.98</v>
      </c>
      <c r="AL15" s="57" t="n">
        <v>-169.54</v>
      </c>
      <c r="AM15" s="57" t="n">
        <v>14537.78</v>
      </c>
      <c r="AN15" s="57" t="n">
        <v>122</v>
      </c>
      <c r="AO15" s="57" t="n">
        <v>104.872</v>
      </c>
      <c r="AP15" s="57" t="n">
        <v>-0.115</v>
      </c>
    </row>
    <row r="16">
      <c r="A16" s="95" t="n"/>
      <c r="B16" s="132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59" t="inlineStr">
        <is>
          <t>3B</t>
        </is>
      </c>
      <c r="N16" s="59">
        <f>SUM(O16:P16)</f>
        <v/>
      </c>
      <c r="O16" s="60">
        <f>AC17</f>
        <v/>
      </c>
      <c r="P16" s="60">
        <f>AM17</f>
        <v/>
      </c>
      <c r="Q16" s="116" t="n">
        <v>0.95</v>
      </c>
      <c r="R16" s="116" t="n">
        <v>0.3</v>
      </c>
      <c r="S16" s="62" t="n">
        <v>3.25</v>
      </c>
      <c r="T16" s="62" t="n">
        <v>3.25</v>
      </c>
      <c r="U16" s="62" t="n">
        <v>0.35</v>
      </c>
      <c r="V16" s="132" t="n"/>
      <c r="W16" s="116">
        <f>PRODUCT(2.5,S16,T16,10000)/10</f>
        <v/>
      </c>
      <c r="X16" s="57" t="inlineStr">
        <is>
          <t>BASE</t>
        </is>
      </c>
      <c r="Y16" s="57" t="n">
        <v>30</v>
      </c>
      <c r="Z16" s="57" t="inlineStr">
        <is>
          <t>PD</t>
        </is>
      </c>
      <c r="AA16" s="57" t="n">
        <v>36.21</v>
      </c>
      <c r="AB16" s="57" t="n">
        <v>-456.75</v>
      </c>
      <c r="AC16" s="57" t="n">
        <v>50410.58</v>
      </c>
      <c r="AD16" s="57" t="n">
        <v>328.67</v>
      </c>
      <c r="AE16" s="57" t="n">
        <v>23.446</v>
      </c>
      <c r="AF16" s="57" t="n">
        <v>-0.224</v>
      </c>
      <c r="AH16" s="57" t="inlineStr">
        <is>
          <t>BASE</t>
        </is>
      </c>
      <c r="AI16" s="57" t="n">
        <v>30</v>
      </c>
      <c r="AJ16" s="57" t="inlineStr">
        <is>
          <t>PL</t>
        </is>
      </c>
      <c r="AK16" s="57" t="n">
        <v>23.34</v>
      </c>
      <c r="AL16" s="57" t="n">
        <v>-227.19</v>
      </c>
      <c r="AM16" s="57" t="n">
        <v>14182.28</v>
      </c>
      <c r="AN16" s="57" t="n">
        <v>163.481</v>
      </c>
      <c r="AO16" s="57" t="n">
        <v>15.113</v>
      </c>
      <c r="AP16" s="57" t="n">
        <v>-0.156</v>
      </c>
    </row>
    <row r="17">
      <c r="A17" s="95" t="inlineStr">
        <is>
          <t>1°</t>
        </is>
      </c>
      <c r="B17" s="80" t="inlineStr">
        <is>
          <t>Esfuerzo Neto del Terreno</t>
        </is>
      </c>
      <c r="C17" s="95" t="n"/>
      <c r="D17" s="95" t="n"/>
      <c r="E17" s="95" t="n"/>
      <c r="F17" s="95" t="n"/>
      <c r="G17" s="95" t="n"/>
      <c r="H17" s="95" t="n"/>
      <c r="I17" s="95" t="n"/>
      <c r="J17" s="95" t="n"/>
      <c r="K17" s="95" t="n"/>
      <c r="L17" s="95" t="n"/>
      <c r="M17" s="59" t="inlineStr">
        <is>
          <t>3C</t>
        </is>
      </c>
      <c r="N17" s="59">
        <f>SUM(O17:P17)</f>
        <v/>
      </c>
      <c r="O17" s="60">
        <f>AC18</f>
        <v/>
      </c>
      <c r="P17" s="60">
        <f>AM18</f>
        <v/>
      </c>
      <c r="Q17" s="116" t="n">
        <v>0.95</v>
      </c>
      <c r="R17" s="116" t="n">
        <v>0.3</v>
      </c>
      <c r="S17" s="62" t="n">
        <v>3.25</v>
      </c>
      <c r="T17" s="62" t="n">
        <v>3.25</v>
      </c>
      <c r="U17" s="62" t="n">
        <v>0.35</v>
      </c>
      <c r="V17" s="132" t="n"/>
      <c r="W17" s="116">
        <f>PRODUCT(2.5,S17,T17,10000)/10</f>
        <v/>
      </c>
      <c r="X17" s="57" t="inlineStr">
        <is>
          <t>BASE</t>
        </is>
      </c>
      <c r="Y17" s="57" t="n">
        <v>32</v>
      </c>
      <c r="Z17" s="57" t="inlineStr">
        <is>
          <t>PD</t>
        </is>
      </c>
      <c r="AA17" s="57" t="n">
        <v>-556.87</v>
      </c>
      <c r="AB17" s="57" t="n">
        <v>-332.57</v>
      </c>
      <c r="AC17" s="57" t="n">
        <v>43096.02</v>
      </c>
      <c r="AD17" s="57" t="n">
        <v>239.313</v>
      </c>
      <c r="AE17" s="57" t="n">
        <v>-331.614</v>
      </c>
      <c r="AF17" s="57" t="n">
        <v>-0.332</v>
      </c>
      <c r="AH17" s="57" t="inlineStr">
        <is>
          <t>BASE</t>
        </is>
      </c>
      <c r="AI17" s="57" t="n">
        <v>32</v>
      </c>
      <c r="AJ17" s="57" t="inlineStr">
        <is>
          <t>PL</t>
        </is>
      </c>
      <c r="AK17" s="57" t="n">
        <v>-230.63</v>
      </c>
      <c r="AL17" s="57" t="n">
        <v>-161.48</v>
      </c>
      <c r="AM17" s="57" t="n">
        <v>9422.75</v>
      </c>
      <c r="AN17" s="57" t="n">
        <v>116.197</v>
      </c>
      <c r="AO17" s="57" t="n">
        <v>-137.338</v>
      </c>
      <c r="AP17" s="57" t="n">
        <v>-0.247</v>
      </c>
    </row>
    <row r="18" ht="6.75" customHeight="1">
      <c r="A18" s="95" t="n"/>
      <c r="B18" s="95" t="n"/>
      <c r="C18" s="95" t="n"/>
      <c r="D18" s="95" t="n"/>
      <c r="E18" s="95" t="n"/>
      <c r="F18" s="95" t="n"/>
      <c r="G18" s="95" t="n"/>
      <c r="H18" s="95" t="n"/>
      <c r="I18" s="95" t="n"/>
      <c r="J18" s="95" t="n"/>
      <c r="K18" s="95" t="n"/>
      <c r="L18" s="95" t="n"/>
      <c r="M18" s="59" t="inlineStr">
        <is>
          <t>2H</t>
        </is>
      </c>
      <c r="N18" s="59">
        <f>SUM(O18:P18)</f>
        <v/>
      </c>
      <c r="O18" s="60">
        <f>AC19</f>
        <v/>
      </c>
      <c r="P18" s="60">
        <f>AM19</f>
        <v/>
      </c>
      <c r="Q18" s="116" t="n">
        <v>0.95</v>
      </c>
      <c r="R18" s="116" t="n">
        <v>0.3</v>
      </c>
      <c r="S18" s="62" t="n"/>
      <c r="T18" s="62" t="n"/>
      <c r="U18" s="62" t="n"/>
      <c r="V18" s="132" t="n"/>
      <c r="W18" s="95" t="n"/>
      <c r="X18" s="57" t="inlineStr">
        <is>
          <t>BASE</t>
        </is>
      </c>
      <c r="Y18" s="57" t="n">
        <v>33</v>
      </c>
      <c r="Z18" s="57" t="inlineStr">
        <is>
          <t>PD</t>
        </is>
      </c>
      <c r="AA18" s="57" t="n">
        <v>-833.53</v>
      </c>
      <c r="AB18" s="57" t="n">
        <v>-316.75</v>
      </c>
      <c r="AC18" s="57" t="n">
        <v>64862.01</v>
      </c>
      <c r="AD18" s="57" t="n">
        <v>227.933</v>
      </c>
      <c r="AE18" s="57" t="n">
        <v>-496.367</v>
      </c>
      <c r="AF18" s="57" t="n">
        <v>-0.304</v>
      </c>
      <c r="AH18" s="57" t="inlineStr">
        <is>
          <t>BASE</t>
        </is>
      </c>
      <c r="AI18" s="57" t="n">
        <v>33</v>
      </c>
      <c r="AJ18" s="57" t="inlineStr">
        <is>
          <t>PL</t>
        </is>
      </c>
      <c r="AK18" s="57" t="n">
        <v>-346.37</v>
      </c>
      <c r="AL18" s="57" t="n">
        <v>-152.72</v>
      </c>
      <c r="AM18" s="57" t="n">
        <v>18478.28</v>
      </c>
      <c r="AN18" s="57" t="n">
        <v>109.893</v>
      </c>
      <c r="AO18" s="57" t="n">
        <v>-206.26</v>
      </c>
      <c r="AP18" s="57" t="n">
        <v>-0.211</v>
      </c>
    </row>
    <row r="19">
      <c r="A19" s="95" t="n"/>
      <c r="B19" s="117" t="inlineStr">
        <is>
          <t>σn  =</t>
        </is>
      </c>
      <c r="C19" s="103">
        <f>B12-B11*B6*10^-4-2400*B10*10^-4-B7*10^-4</f>
        <v/>
      </c>
      <c r="D19" s="71" t="inlineStr">
        <is>
          <t>Kg/cm²</t>
        </is>
      </c>
      <c r="E19" s="95" t="n"/>
      <c r="F19" s="95" t="n"/>
      <c r="G19" s="95" t="n"/>
      <c r="H19" s="95" t="n"/>
      <c r="I19" s="95" t="n"/>
      <c r="J19" s="95" t="n"/>
      <c r="K19" s="95" t="n"/>
      <c r="L19" s="95" t="n"/>
      <c r="M19" s="59" t="inlineStr">
        <is>
          <t>5H</t>
        </is>
      </c>
      <c r="N19" s="59">
        <f>SUM(O19:P19)</f>
        <v/>
      </c>
      <c r="O19" s="60">
        <f>AC20</f>
        <v/>
      </c>
      <c r="P19" s="60">
        <f>AM20</f>
        <v/>
      </c>
      <c r="Q19" s="116" t="n">
        <v>0.75</v>
      </c>
      <c r="R19" s="116" t="n">
        <v>0.3</v>
      </c>
      <c r="S19" s="62" t="n"/>
      <c r="T19" s="62" t="n"/>
      <c r="U19" s="62" t="n"/>
      <c r="V19" s="132" t="n"/>
      <c r="W19" s="95" t="n"/>
      <c r="X19" s="57" t="inlineStr">
        <is>
          <t>BASE</t>
        </is>
      </c>
      <c r="Y19" s="57" t="n">
        <v>35</v>
      </c>
      <c r="Z19" s="57" t="inlineStr">
        <is>
          <t>PD</t>
        </is>
      </c>
      <c r="AA19" s="57" t="n">
        <v>-601.89</v>
      </c>
      <c r="AB19" s="57" t="n">
        <v>-373.63</v>
      </c>
      <c r="AC19" s="57" t="n">
        <v>59680.31</v>
      </c>
      <c r="AD19" s="57" t="n">
        <v>268.857</v>
      </c>
      <c r="AE19" s="57" t="n">
        <v>-358.424</v>
      </c>
      <c r="AF19" s="57" t="n">
        <v>-0.264</v>
      </c>
      <c r="AH19" s="57" t="inlineStr">
        <is>
          <t>BASE</t>
        </is>
      </c>
      <c r="AI19" s="57" t="n">
        <v>35</v>
      </c>
      <c r="AJ19" s="57" t="inlineStr">
        <is>
          <t>PL</t>
        </is>
      </c>
      <c r="AK19" s="57" t="n">
        <v>-246.41</v>
      </c>
      <c r="AL19" s="57" t="n">
        <v>-176.39</v>
      </c>
      <c r="AM19" s="57" t="n">
        <v>17091.1</v>
      </c>
      <c r="AN19" s="57" t="n">
        <v>126.93</v>
      </c>
      <c r="AO19" s="57" t="n">
        <v>-146.738</v>
      </c>
      <c r="AP19" s="57" t="n">
        <v>-0.155</v>
      </c>
    </row>
    <row r="20" ht="9.75" customHeight="1">
      <c r="A20" s="95" t="n"/>
      <c r="B20" s="95" t="n"/>
      <c r="C20" s="95" t="n"/>
      <c r="D20" s="95" t="n"/>
      <c r="E20" s="95" t="n"/>
      <c r="F20" s="95" t="n"/>
      <c r="G20" s="95" t="n"/>
      <c r="H20" s="95" t="n"/>
      <c r="I20" s="95" t="n"/>
      <c r="J20" s="95" t="n"/>
      <c r="K20" s="95" t="n"/>
      <c r="L20" s="95" t="n"/>
      <c r="M20" s="59" t="inlineStr">
        <is>
          <t>6I</t>
        </is>
      </c>
      <c r="N20" s="59">
        <f>SUM(O20:P20)</f>
        <v/>
      </c>
      <c r="O20" s="60">
        <f>AC21</f>
        <v/>
      </c>
      <c r="P20" s="60">
        <f>AM21</f>
        <v/>
      </c>
      <c r="Q20" s="116" t="n">
        <v>0.75</v>
      </c>
      <c r="R20" s="116" t="n">
        <v>0.3</v>
      </c>
      <c r="S20" s="62" t="n"/>
      <c r="T20" s="62" t="n"/>
      <c r="U20" s="62" t="n"/>
      <c r="V20" s="132" t="n"/>
      <c r="W20" s="95" t="n"/>
      <c r="X20" s="57" t="inlineStr">
        <is>
          <t>BASE</t>
        </is>
      </c>
      <c r="Y20" s="57" t="n">
        <v>36</v>
      </c>
      <c r="Z20" s="57" t="inlineStr">
        <is>
          <t>PD</t>
        </is>
      </c>
      <c r="AA20" s="57" t="n">
        <v>-403.84</v>
      </c>
      <c r="AB20" s="57" t="n">
        <v>-527.64</v>
      </c>
      <c r="AC20" s="57" t="n">
        <v>67184.85000000001</v>
      </c>
      <c r="AD20" s="57" t="n">
        <v>379.685</v>
      </c>
      <c r="AE20" s="57" t="n">
        <v>-261.457</v>
      </c>
      <c r="AF20" s="57" t="n">
        <v>-0.195</v>
      </c>
      <c r="AH20" s="57" t="inlineStr">
        <is>
          <t>BASE</t>
        </is>
      </c>
      <c r="AI20" s="57" t="n">
        <v>36</v>
      </c>
      <c r="AJ20" s="57" t="inlineStr">
        <is>
          <t>PL</t>
        </is>
      </c>
      <c r="AK20" s="57" t="n">
        <v>-183.32</v>
      </c>
      <c r="AL20" s="57" t="n">
        <v>-270.08</v>
      </c>
      <c r="AM20" s="57" t="n">
        <v>23039.97</v>
      </c>
      <c r="AN20" s="57" t="n">
        <v>194.346</v>
      </c>
      <c r="AO20" s="57" t="n">
        <v>-118.687</v>
      </c>
      <c r="AP20" s="57" t="n">
        <v>-0.115</v>
      </c>
    </row>
    <row r="21">
      <c r="A21" s="95" t="inlineStr">
        <is>
          <t>2°</t>
        </is>
      </c>
      <c r="B21" s="80" t="inlineStr">
        <is>
          <t>Area de la Zapata</t>
        </is>
      </c>
      <c r="C21" s="95" t="n"/>
      <c r="D21" s="106">
        <f>CONCATENATE(" T = S = ",ROUND(SQRT(C23)/100,2)," x ",ROUND(SQRT(C23)/100,2)," m2")</f>
        <v/>
      </c>
      <c r="E21" s="95" t="n"/>
      <c r="F21" s="95" t="n"/>
      <c r="G21" s="95" t="n"/>
      <c r="H21" s="95" t="n"/>
      <c r="I21" s="95" t="n"/>
      <c r="J21" s="95" t="n"/>
      <c r="K21" s="95" t="n"/>
      <c r="L21" s="95" t="n"/>
      <c r="M21" s="59" t="inlineStr">
        <is>
          <t>7I</t>
        </is>
      </c>
      <c r="N21" s="59">
        <f>SUM(O21:P21)</f>
        <v/>
      </c>
      <c r="O21" s="60">
        <f>AC22</f>
        <v/>
      </c>
      <c r="P21" s="60">
        <f>AM22</f>
        <v/>
      </c>
      <c r="Q21" s="132" t="n">
        <v>0.65</v>
      </c>
      <c r="R21" s="132" t="n">
        <v>0.65</v>
      </c>
      <c r="S21" s="62" t="n"/>
      <c r="T21" s="62" t="n"/>
      <c r="U21" s="62" t="n"/>
      <c r="V21" s="132" t="n"/>
      <c r="W21" s="95" t="n"/>
      <c r="X21" s="57" t="inlineStr">
        <is>
          <t>BASE</t>
        </is>
      </c>
      <c r="Y21" s="57" t="n">
        <v>37</v>
      </c>
      <c r="Z21" s="57" t="inlineStr">
        <is>
          <t>PD</t>
        </is>
      </c>
      <c r="AA21" s="57" t="n">
        <v>207.44</v>
      </c>
      <c r="AB21" s="57" t="n">
        <v>-584.5599999999999</v>
      </c>
      <c r="AC21" s="57" t="n">
        <v>68749.14999999999</v>
      </c>
      <c r="AD21" s="57" t="n">
        <v>420.641</v>
      </c>
      <c r="AE21" s="57" t="n">
        <v>134.303</v>
      </c>
      <c r="AF21" s="57" t="n">
        <v>-0.195</v>
      </c>
      <c r="AH21" s="57" t="inlineStr">
        <is>
          <t>BASE</t>
        </is>
      </c>
      <c r="AI21" s="57" t="n">
        <v>37</v>
      </c>
      <c r="AJ21" s="57" t="inlineStr">
        <is>
          <t>PL</t>
        </is>
      </c>
      <c r="AK21" s="57" t="n">
        <v>102.99</v>
      </c>
      <c r="AL21" s="57" t="n">
        <v>-297.67</v>
      </c>
      <c r="AM21" s="57" t="n">
        <v>23605.28</v>
      </c>
      <c r="AN21" s="57" t="n">
        <v>214.202</v>
      </c>
      <c r="AO21" s="57" t="n">
        <v>66.679</v>
      </c>
      <c r="AP21" s="57" t="n">
        <v>-0.115</v>
      </c>
    </row>
    <row r="22" ht="9" customHeight="1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59" t="inlineStr">
        <is>
          <t>4D</t>
        </is>
      </c>
      <c r="N22" s="59">
        <f>SUM(O22:P22)</f>
        <v/>
      </c>
      <c r="O22" s="60">
        <f>AC23</f>
        <v/>
      </c>
      <c r="P22" s="60">
        <f>AM23</f>
        <v/>
      </c>
      <c r="Q22" s="132" t="n">
        <v>0.65</v>
      </c>
      <c r="R22" s="132" t="n">
        <v>0.65</v>
      </c>
      <c r="S22" s="72" t="n"/>
      <c r="T22" s="72" t="n"/>
      <c r="U22" s="72" t="n"/>
      <c r="X22" s="57" t="inlineStr">
        <is>
          <t>BASE</t>
        </is>
      </c>
      <c r="Y22" s="57" t="n">
        <v>60</v>
      </c>
      <c r="Z22" s="57" t="inlineStr">
        <is>
          <t>PD</t>
        </is>
      </c>
      <c r="AA22" s="57" t="n">
        <v>57.57</v>
      </c>
      <c r="AB22" s="57" t="n">
        <v>38.82</v>
      </c>
      <c r="AC22" s="57" t="n">
        <v>183979.23</v>
      </c>
      <c r="AD22" s="57" t="n">
        <v>-55.229</v>
      </c>
      <c r="AE22" s="57" t="n">
        <v>52.489</v>
      </c>
      <c r="AF22" s="57" t="n">
        <v>-0.97</v>
      </c>
      <c r="AH22" s="57" t="inlineStr">
        <is>
          <t>BASE</t>
        </is>
      </c>
      <c r="AI22" s="57" t="n">
        <v>60</v>
      </c>
      <c r="AJ22" s="57" t="inlineStr">
        <is>
          <t>PL</t>
        </is>
      </c>
      <c r="AK22" s="57" t="n">
        <v>17.28</v>
      </c>
      <c r="AL22" s="57" t="n">
        <v>21.23</v>
      </c>
      <c r="AM22" s="57" t="n">
        <v>73040.52</v>
      </c>
      <c r="AN22" s="57" t="n">
        <v>-29.335</v>
      </c>
      <c r="AO22" s="57" t="n">
        <v>6.233</v>
      </c>
      <c r="AP22" s="57" t="n">
        <v>-0.57</v>
      </c>
    </row>
    <row r="23">
      <c r="A23" s="95" t="n"/>
      <c r="B23" s="95" t="inlineStr">
        <is>
          <t>Azap  =</t>
        </is>
      </c>
      <c r="C23" s="95">
        <f>SUM(B4:B5)/C19</f>
        <v/>
      </c>
      <c r="D23" s="95" t="inlineStr">
        <is>
          <t>cm²</t>
        </is>
      </c>
      <c r="E23" s="95">
        <f>D27*D28*10000</f>
        <v/>
      </c>
      <c r="F23" s="95" t="inlineStr">
        <is>
          <t>cm²</t>
        </is>
      </c>
      <c r="G23" s="95" t="n"/>
      <c r="H23" s="95" t="n"/>
      <c r="I23" s="95" t="n"/>
      <c r="J23" s="95" t="n"/>
      <c r="K23" s="95" t="n"/>
      <c r="L23" s="95" t="n"/>
      <c r="M23" s="59" t="inlineStr">
        <is>
          <t>5D</t>
        </is>
      </c>
      <c r="N23" s="59">
        <f>SUM(O23:P23)</f>
        <v/>
      </c>
      <c r="O23" s="60">
        <f>AC24</f>
        <v/>
      </c>
      <c r="P23" s="60">
        <f>AM24</f>
        <v/>
      </c>
      <c r="Q23" s="132" t="n">
        <v>0.65</v>
      </c>
      <c r="R23" s="132" t="n">
        <v>0.65</v>
      </c>
      <c r="X23" s="57" t="inlineStr">
        <is>
          <t>BASE</t>
        </is>
      </c>
      <c r="Y23" s="57" t="n">
        <v>62</v>
      </c>
      <c r="Z23" s="57" t="inlineStr">
        <is>
          <t>PD</t>
        </is>
      </c>
      <c r="AA23" s="57" t="n">
        <v>13.79</v>
      </c>
      <c r="AB23" s="57" t="n">
        <v>41.68</v>
      </c>
      <c r="AC23" s="57" t="n">
        <v>179764.14</v>
      </c>
      <c r="AD23" s="57" t="n">
        <v>-59.134</v>
      </c>
      <c r="AE23" s="57" t="n">
        <v>-4.974</v>
      </c>
      <c r="AF23" s="57" t="n">
        <v>-0.97</v>
      </c>
      <c r="AH23" s="57" t="inlineStr">
        <is>
          <t>BASE</t>
        </is>
      </c>
      <c r="AI23" s="57" t="n">
        <v>62</v>
      </c>
      <c r="AJ23" s="57" t="inlineStr">
        <is>
          <t>PL</t>
        </is>
      </c>
      <c r="AK23" s="57" t="n">
        <v>-7.25</v>
      </c>
      <c r="AL23" s="57" t="n">
        <v>21.2</v>
      </c>
      <c r="AM23" s="57" t="n">
        <v>71294.14</v>
      </c>
      <c r="AN23" s="57" t="n">
        <v>-29.293</v>
      </c>
      <c r="AO23" s="57" t="n">
        <v>-25.908</v>
      </c>
      <c r="AP23" s="57" t="n">
        <v>-0.57</v>
      </c>
    </row>
    <row r="24" ht="8.25" customHeight="1">
      <c r="A24" s="95" t="n"/>
      <c r="B24" s="95" t="n"/>
      <c r="C24" s="95" t="n"/>
      <c r="D24" s="95" t="n"/>
      <c r="E24" s="95" t="n"/>
      <c r="F24" s="95" t="n"/>
      <c r="G24" s="95" t="n"/>
      <c r="H24" s="95" t="n"/>
      <c r="I24" s="95" t="n"/>
      <c r="J24" s="95" t="n"/>
      <c r="K24" s="95" t="n"/>
      <c r="L24" s="95" t="n"/>
      <c r="N24" s="59">
        <f>SUM(O24:P24)</f>
        <v/>
      </c>
      <c r="O24" s="60">
        <f>AC25</f>
        <v/>
      </c>
      <c r="P24" s="60">
        <f>AM25</f>
        <v/>
      </c>
      <c r="Q24" s="132" t="n">
        <v>0.65</v>
      </c>
      <c r="R24" s="132" t="n">
        <v>0.65</v>
      </c>
      <c r="X24" s="57" t="inlineStr">
        <is>
          <t>BASE</t>
        </is>
      </c>
      <c r="Y24" s="57" t="n">
        <v>64</v>
      </c>
      <c r="Z24" s="57" t="inlineStr">
        <is>
          <t>PD</t>
        </is>
      </c>
      <c r="AA24" s="57" t="n">
        <v>-176.37</v>
      </c>
      <c r="AB24" s="57" t="n">
        <v>21.28</v>
      </c>
      <c r="AC24" s="57" t="n">
        <v>180617.32</v>
      </c>
      <c r="AD24" s="57" t="n">
        <v>-31.261</v>
      </c>
      <c r="AE24" s="57" t="n">
        <v>-262.431</v>
      </c>
      <c r="AF24" s="57" t="n">
        <v>-0.97</v>
      </c>
      <c r="AH24" s="57" t="inlineStr">
        <is>
          <t>BASE</t>
        </is>
      </c>
      <c r="AI24" s="57" t="n">
        <v>64</v>
      </c>
      <c r="AJ24" s="57" t="inlineStr">
        <is>
          <t>PL</t>
        </is>
      </c>
      <c r="AK24" s="57" t="n">
        <v>-107.66</v>
      </c>
      <c r="AL24" s="57" t="n">
        <v>10.47</v>
      </c>
      <c r="AM24" s="57" t="n">
        <v>71656.86</v>
      </c>
      <c r="AN24" s="57" t="n">
        <v>-14.626</v>
      </c>
      <c r="AO24" s="57" t="n">
        <v>-161.717</v>
      </c>
      <c r="AP24" s="57" t="n">
        <v>-0.57</v>
      </c>
    </row>
    <row r="25">
      <c r="A25" s="95" t="n"/>
      <c r="B25" s="71" t="inlineStr">
        <is>
          <t>Debe Cumplir que Lv1 = Lv2:</t>
        </is>
      </c>
      <c r="C25" s="95" t="n"/>
      <c r="D25" s="95" t="n"/>
      <c r="E25" s="95" t="n"/>
      <c r="F25" s="95" t="n"/>
      <c r="G25" s="95" t="n"/>
      <c r="H25" s="95" t="n"/>
      <c r="I25" s="95" t="n"/>
      <c r="J25" s="95" t="n"/>
      <c r="K25" s="95" t="n"/>
      <c r="L25" s="95" t="n"/>
      <c r="N25" s="59">
        <f>SUM(O25:P25)</f>
        <v/>
      </c>
      <c r="O25" s="60">
        <f>AC26</f>
        <v/>
      </c>
      <c r="P25" s="60">
        <f>AM26</f>
        <v/>
      </c>
      <c r="Q25" s="132" t="n">
        <v>0.65</v>
      </c>
      <c r="R25" s="132" t="n">
        <v>0.65</v>
      </c>
      <c r="X25" s="57" t="inlineStr">
        <is>
          <t>BASE</t>
        </is>
      </c>
      <c r="Y25" s="57" t="n">
        <v>67</v>
      </c>
      <c r="Z25" s="57" t="inlineStr">
        <is>
          <t>PD</t>
        </is>
      </c>
      <c r="AA25" s="57" t="n">
        <v>-231.69</v>
      </c>
      <c r="AB25" s="57" t="n">
        <v>-99.70999999999999</v>
      </c>
      <c r="AC25" s="57" t="n">
        <v>160969.41</v>
      </c>
      <c r="AD25" s="57" t="n">
        <v>154.932</v>
      </c>
      <c r="AE25" s="57" t="n">
        <v>-342.691</v>
      </c>
      <c r="AF25" s="57" t="n">
        <v>-0.97</v>
      </c>
      <c r="AH25" s="57" t="inlineStr">
        <is>
          <t>BASE</t>
        </is>
      </c>
      <c r="AI25" s="57" t="n">
        <v>67</v>
      </c>
      <c r="AJ25" s="57" t="inlineStr">
        <is>
          <t>PL</t>
        </is>
      </c>
      <c r="AK25" s="57" t="n">
        <v>-110.38</v>
      </c>
      <c r="AL25" s="57" t="n">
        <v>-48.08</v>
      </c>
      <c r="AM25" s="57" t="n">
        <v>80507.27</v>
      </c>
      <c r="AN25" s="57" t="n">
        <v>77.646</v>
      </c>
      <c r="AO25" s="57" t="n">
        <v>-168.187</v>
      </c>
      <c r="AP25" s="57" t="n">
        <v>-0.57</v>
      </c>
    </row>
    <row r="26">
      <c r="A26" s="95" t="n"/>
      <c r="B26" s="95" t="n"/>
      <c r="C26" s="95" t="n"/>
      <c r="D26" s="95" t="n"/>
      <c r="E26" s="95" t="n"/>
      <c r="F26" s="95" t="n"/>
      <c r="G26" s="95" t="n"/>
      <c r="H26" s="95" t="n"/>
      <c r="I26" s="95" t="n"/>
      <c r="J26" s="95" t="n"/>
      <c r="K26" s="95" t="n"/>
      <c r="L26" s="95" t="n"/>
      <c r="N26" s="59">
        <f>SUM(O26:P26)</f>
        <v/>
      </c>
      <c r="O26" s="60">
        <f>AC27</f>
        <v/>
      </c>
      <c r="P26" s="60">
        <f>AM27</f>
        <v/>
      </c>
      <c r="Q26" s="132" t="n">
        <v>0.65</v>
      </c>
      <c r="R26" s="132" t="n">
        <v>0.65</v>
      </c>
      <c r="X26" s="57" t="inlineStr">
        <is>
          <t>BASE</t>
        </is>
      </c>
      <c r="Y26" s="57" t="n">
        <v>69</v>
      </c>
      <c r="Z26" s="57" t="inlineStr">
        <is>
          <t>PD</t>
        </is>
      </c>
      <c r="AA26" s="57" t="n">
        <v>-243.25</v>
      </c>
      <c r="AB26" s="57" t="n">
        <v>42.52</v>
      </c>
      <c r="AC26" s="57" t="n">
        <v>155678.81</v>
      </c>
      <c r="AD26" s="57" t="n">
        <v>-39.379</v>
      </c>
      <c r="AE26" s="57" t="n">
        <v>-356.149</v>
      </c>
      <c r="AF26" s="57" t="n">
        <v>-0.97</v>
      </c>
      <c r="AH26" s="57" t="inlineStr">
        <is>
          <t>BASE</t>
        </is>
      </c>
      <c r="AI26" s="57" t="n">
        <v>69</v>
      </c>
      <c r="AJ26" s="57" t="inlineStr">
        <is>
          <t>PL</t>
        </is>
      </c>
      <c r="AK26" s="57" t="n">
        <v>-116.82</v>
      </c>
      <c r="AL26" s="57" t="n">
        <v>22.18</v>
      </c>
      <c r="AM26" s="57" t="n">
        <v>77494.73</v>
      </c>
      <c r="AN26" s="57" t="n">
        <v>-18.342</v>
      </c>
      <c r="AO26" s="57" t="n">
        <v>-175.606</v>
      </c>
      <c r="AP26" s="57" t="n">
        <v>-0.57</v>
      </c>
    </row>
    <row r="27">
      <c r="A27" s="95" t="n"/>
      <c r="B27" s="95">
        <f>CONCATENATE("T = ",ROUND(SQRT(C23)/100,2)+ROUND(0.5*(B8-B9),2)," m")</f>
        <v/>
      </c>
      <c r="C27" s="95" t="n"/>
      <c r="D27" s="105" t="n">
        <v>3.35</v>
      </c>
      <c r="E27" s="95" t="inlineStr">
        <is>
          <t>m</t>
        </is>
      </c>
      <c r="F27" s="95" t="n"/>
      <c r="G27" s="95" t="n"/>
      <c r="H27" s="95" t="n"/>
      <c r="I27" s="95" t="n"/>
      <c r="J27" s="95" t="n"/>
      <c r="K27" s="95" t="n"/>
      <c r="L27" s="95" t="n"/>
      <c r="N27" s="59">
        <f>SUM(O27:P27)</f>
        <v/>
      </c>
      <c r="O27" s="60">
        <f>AC28</f>
        <v/>
      </c>
      <c r="P27" s="60">
        <f>AM28</f>
        <v/>
      </c>
      <c r="Q27" s="132" t="n">
        <v>0.65</v>
      </c>
      <c r="R27" s="132" t="n">
        <v>0.65</v>
      </c>
      <c r="X27" s="57" t="inlineStr">
        <is>
          <t>BASE</t>
        </is>
      </c>
      <c r="Y27" s="57" t="n">
        <v>71</v>
      </c>
      <c r="Z27" s="57" t="inlineStr">
        <is>
          <t>PD</t>
        </is>
      </c>
      <c r="AA27" s="57" t="n">
        <v>-176.12</v>
      </c>
      <c r="AB27" s="57" t="n">
        <v>-62.58</v>
      </c>
      <c r="AC27" s="57" t="n">
        <v>155330.91</v>
      </c>
      <c r="AD27" s="57" t="n">
        <v>104.205</v>
      </c>
      <c r="AE27" s="57" t="n">
        <v>-262.093</v>
      </c>
      <c r="AF27" s="57" t="n">
        <v>-0.97</v>
      </c>
      <c r="AH27" s="57" t="inlineStr">
        <is>
          <t>BASE</t>
        </is>
      </c>
      <c r="AI27" s="57" t="n">
        <v>71</v>
      </c>
      <c r="AJ27" s="57" t="inlineStr">
        <is>
          <t>PL</t>
        </is>
      </c>
      <c r="AK27" s="57" t="n">
        <v>-84.23999999999999</v>
      </c>
      <c r="AL27" s="57" t="n">
        <v>-32.83</v>
      </c>
      <c r="AM27" s="57" t="n">
        <v>77357.45</v>
      </c>
      <c r="AN27" s="57" t="n">
        <v>56.815</v>
      </c>
      <c r="AO27" s="57" t="n">
        <v>-129.715</v>
      </c>
      <c r="AP27" s="57" t="n">
        <v>-0.57</v>
      </c>
    </row>
    <row r="28">
      <c r="A28" s="95" t="n"/>
      <c r="B28" s="95">
        <f>CONCATENATE("S = ",ROUND(SQRT(C23)/100,2)-ROUND(0.5*(B8-B9),2)," m")</f>
        <v/>
      </c>
      <c r="C28" s="95" t="n"/>
      <c r="D28" s="105" t="n">
        <v>2.9</v>
      </c>
      <c r="E28" s="95" t="inlineStr">
        <is>
          <t>m</t>
        </is>
      </c>
      <c r="F28" s="95" t="n"/>
      <c r="G28" s="95" t="n"/>
      <c r="H28" s="95" t="n"/>
      <c r="I28" s="95" t="n"/>
      <c r="J28" s="95" t="n"/>
      <c r="K28" s="95" t="n"/>
      <c r="L28" s="95" t="n"/>
      <c r="N28" s="59">
        <f>SUM(O28:P28)</f>
        <v/>
      </c>
      <c r="O28" s="60">
        <f>AC29</f>
        <v/>
      </c>
      <c r="P28" s="60">
        <f>AM29</f>
        <v/>
      </c>
      <c r="Q28" s="132" t="n">
        <v>0.65</v>
      </c>
      <c r="R28" s="132" t="n">
        <v>0.65</v>
      </c>
      <c r="X28" s="57" t="inlineStr">
        <is>
          <t>BASE</t>
        </is>
      </c>
      <c r="Y28" s="57" t="n">
        <v>72</v>
      </c>
      <c r="Z28" s="57" t="inlineStr">
        <is>
          <t>PD</t>
        </is>
      </c>
      <c r="AA28" s="57" t="n">
        <v>15537.45</v>
      </c>
      <c r="AB28" s="57" t="n">
        <v>158.82</v>
      </c>
      <c r="AC28" s="57" t="n">
        <v>84784.33</v>
      </c>
      <c r="AD28" s="57" t="n">
        <v>-285.507</v>
      </c>
      <c r="AE28" s="57" t="n">
        <v>-692.354</v>
      </c>
      <c r="AF28" s="57" t="n">
        <v>-17.108</v>
      </c>
      <c r="AH28" s="57" t="inlineStr">
        <is>
          <t>BASE</t>
        </is>
      </c>
      <c r="AI28" s="57" t="n">
        <v>72</v>
      </c>
      <c r="AJ28" s="57" t="inlineStr">
        <is>
          <t>PL</t>
        </is>
      </c>
      <c r="AK28" s="57" t="n">
        <v>4059</v>
      </c>
      <c r="AL28" s="57" t="n">
        <v>40.97</v>
      </c>
      <c r="AM28" s="57" t="n">
        <v>22402.92</v>
      </c>
      <c r="AN28" s="57" t="n">
        <v>-35.603</v>
      </c>
      <c r="AO28" s="57" t="n">
        <v>-353.241</v>
      </c>
      <c r="AP28" s="57" t="n">
        <v>1.621</v>
      </c>
    </row>
    <row r="29" ht="11.25" customHeight="1">
      <c r="A29" s="95" t="n"/>
      <c r="B29" s="95" t="n"/>
      <c r="C29" s="95" t="n"/>
      <c r="D29" s="95" t="n"/>
      <c r="E29" s="95" t="n"/>
      <c r="F29" s="95" t="n"/>
      <c r="G29" s="95" t="n"/>
      <c r="H29" s="95" t="n"/>
      <c r="I29" s="95" t="n"/>
      <c r="J29" s="95" t="n"/>
      <c r="K29" s="95" t="n"/>
      <c r="L29" s="95" t="n"/>
      <c r="N29" s="59">
        <f>SUM(O29:P29)</f>
        <v/>
      </c>
      <c r="O29" s="60">
        <f>AC30</f>
        <v/>
      </c>
      <c r="P29" s="60">
        <f>AM30</f>
        <v/>
      </c>
      <c r="Q29" s="132" t="n">
        <v>0.65</v>
      </c>
      <c r="R29" s="132" t="n">
        <v>0.65</v>
      </c>
      <c r="X29" s="57" t="inlineStr">
        <is>
          <t>BASE</t>
        </is>
      </c>
      <c r="Y29" s="57" t="n">
        <v>73</v>
      </c>
      <c r="Z29" s="57" t="inlineStr">
        <is>
          <t>PD</t>
        </is>
      </c>
      <c r="AA29" s="57" t="n">
        <v>-16042.01</v>
      </c>
      <c r="AB29" s="57" t="n">
        <v>1086.42</v>
      </c>
      <c r="AC29" s="57" t="n">
        <v>89227.83</v>
      </c>
      <c r="AD29" s="57" t="n">
        <v>-2241.497</v>
      </c>
      <c r="AE29" s="57" t="n">
        <v>1165.386</v>
      </c>
      <c r="AF29" s="57" t="n">
        <v>94.151</v>
      </c>
      <c r="AH29" s="57" t="inlineStr">
        <is>
          <t>BASE</t>
        </is>
      </c>
      <c r="AI29" s="57" t="n">
        <v>73</v>
      </c>
      <c r="AJ29" s="57" t="inlineStr">
        <is>
          <t>PL</t>
        </is>
      </c>
      <c r="AK29" s="57" t="n">
        <v>-4551.42</v>
      </c>
      <c r="AL29" s="57" t="n">
        <v>401.67</v>
      </c>
      <c r="AM29" s="57" t="n">
        <v>26554.96</v>
      </c>
      <c r="AN29" s="57" t="n">
        <v>-812.587</v>
      </c>
      <c r="AO29" s="57" t="n">
        <v>603.051</v>
      </c>
      <c r="AP29" s="57" t="n">
        <v>34.278</v>
      </c>
    </row>
    <row r="30">
      <c r="A30" s="95" t="n"/>
      <c r="B30" s="122" t="inlineStr">
        <is>
          <t>Lv1 = Lv2 =</t>
        </is>
      </c>
      <c r="C30" s="154">
        <f>ROUND(0.5*(D27-B8),3)</f>
        <v/>
      </c>
      <c r="D30" s="95" t="inlineStr">
        <is>
          <t>m</t>
        </is>
      </c>
      <c r="E30" s="95" t="n"/>
      <c r="F30" s="95" t="n"/>
      <c r="G30" s="95" t="n"/>
      <c r="H30" s="95" t="n"/>
      <c r="I30" s="95" t="n"/>
      <c r="J30" s="95" t="n"/>
      <c r="K30" s="95" t="n"/>
      <c r="L30" s="95" t="n"/>
      <c r="N30" s="59">
        <f>SUM(O30:P30)</f>
        <v/>
      </c>
      <c r="O30" s="60">
        <f>AC31</f>
        <v/>
      </c>
      <c r="P30" s="60">
        <f>AM31</f>
        <v/>
      </c>
      <c r="Q30" s="132" t="n">
        <v>0.65</v>
      </c>
      <c r="R30" s="132" t="n">
        <v>0.65</v>
      </c>
      <c r="X30" s="57" t="inlineStr">
        <is>
          <t>BASE</t>
        </is>
      </c>
      <c r="Y30" s="57" t="n">
        <v>76</v>
      </c>
      <c r="Z30" s="57" t="inlineStr">
        <is>
          <t>PD</t>
        </is>
      </c>
      <c r="AA30" s="57" t="n">
        <v>17348.48</v>
      </c>
      <c r="AB30" s="57" t="n">
        <v>-925.02</v>
      </c>
      <c r="AC30" s="57" t="n">
        <v>93172.28</v>
      </c>
      <c r="AD30" s="57" t="n">
        <v>1206.807</v>
      </c>
      <c r="AE30" s="57" t="n">
        <v>-822.372</v>
      </c>
      <c r="AF30" s="57" t="n">
        <v>-19.996</v>
      </c>
      <c r="AH30" s="57" t="inlineStr">
        <is>
          <t>BASE</t>
        </is>
      </c>
      <c r="AI30" s="57" t="n">
        <v>76</v>
      </c>
      <c r="AJ30" s="57" t="inlineStr">
        <is>
          <t>PL</t>
        </is>
      </c>
      <c r="AK30" s="57" t="n">
        <v>4631.58</v>
      </c>
      <c r="AL30" s="57" t="n">
        <v>-486.34</v>
      </c>
      <c r="AM30" s="57" t="n">
        <v>25052.55</v>
      </c>
      <c r="AN30" s="57" t="n">
        <v>604.636</v>
      </c>
      <c r="AO30" s="57" t="n">
        <v>-411.368</v>
      </c>
      <c r="AP30" s="57" t="n">
        <v>-14.562</v>
      </c>
    </row>
    <row r="31">
      <c r="A31" s="95" t="n"/>
      <c r="B31" s="122" t="inlineStr">
        <is>
          <t>=</t>
        </is>
      </c>
      <c r="C31" s="154">
        <f>ROUND(0.5*(D28-B9),3)</f>
        <v/>
      </c>
      <c r="D31" s="95" t="inlineStr">
        <is>
          <t>m</t>
        </is>
      </c>
      <c r="E31" s="104">
        <f>IF(C30=C31,"Conforme","Verificar Medidas")</f>
        <v/>
      </c>
      <c r="F31" s="95" t="n"/>
      <c r="G31" s="95" t="n"/>
      <c r="H31" s="95" t="n"/>
      <c r="I31" s="95" t="n"/>
      <c r="J31" s="95" t="n"/>
      <c r="K31" s="95" t="n"/>
      <c r="L31" s="95" t="n"/>
      <c r="N31" s="59">
        <f>SUM(O31:P31)</f>
        <v/>
      </c>
      <c r="O31" s="60">
        <f>AC32</f>
        <v/>
      </c>
      <c r="P31" s="60">
        <f>AM32</f>
        <v/>
      </c>
      <c r="Q31" s="132" t="n">
        <v>0.65</v>
      </c>
      <c r="R31" s="132" t="n">
        <v>0.65</v>
      </c>
      <c r="X31" s="57" t="inlineStr">
        <is>
          <t>BASE</t>
        </is>
      </c>
      <c r="Y31" s="57" t="n">
        <v>77</v>
      </c>
      <c r="Z31" s="57" t="inlineStr">
        <is>
          <t>PD</t>
        </is>
      </c>
      <c r="AA31" s="57" t="n">
        <v>-18681.27</v>
      </c>
      <c r="AB31" s="57" t="n">
        <v>-1388.79</v>
      </c>
      <c r="AC31" s="57" t="n">
        <v>104783.2</v>
      </c>
      <c r="AD31" s="57" t="n">
        <v>2276.929</v>
      </c>
      <c r="AE31" s="57" t="n">
        <v>1321.682</v>
      </c>
      <c r="AF31" s="57" t="n">
        <v>-58.432</v>
      </c>
      <c r="AH31" s="57" t="inlineStr">
        <is>
          <t>BASE</t>
        </is>
      </c>
      <c r="AI31" s="57" t="n">
        <v>77</v>
      </c>
      <c r="AJ31" s="57" t="inlineStr">
        <is>
          <t>PL</t>
        </is>
      </c>
      <c r="AK31" s="57" t="n">
        <v>-5565.29</v>
      </c>
      <c r="AL31" s="57" t="n">
        <v>-804.7</v>
      </c>
      <c r="AM31" s="57" t="n">
        <v>32616.78</v>
      </c>
      <c r="AN31" s="57" t="n">
        <v>1343.473</v>
      </c>
      <c r="AO31" s="57" t="n">
        <v>679.272</v>
      </c>
      <c r="AP31" s="57" t="n">
        <v>-40.229</v>
      </c>
    </row>
    <row r="32">
      <c r="A32" s="95" t="n"/>
      <c r="B32" s="95" t="n"/>
      <c r="C32" s="95" t="n"/>
      <c r="D32" s="95" t="n"/>
      <c r="E32" s="95" t="n"/>
      <c r="F32" s="95" t="n"/>
      <c r="G32" s="95" t="n"/>
      <c r="H32" s="95" t="n"/>
      <c r="I32" s="95" t="n"/>
      <c r="J32" s="95" t="n"/>
      <c r="K32" s="95" t="n"/>
      <c r="L32" s="95" t="n"/>
      <c r="N32" s="59">
        <f>SUM(O32:P32)</f>
        <v/>
      </c>
      <c r="O32" s="60">
        <f>AC33</f>
        <v/>
      </c>
      <c r="P32" s="60">
        <f>AM33</f>
        <v/>
      </c>
      <c r="Q32" s="132" t="n">
        <v>0.65</v>
      </c>
      <c r="R32" s="132" t="n">
        <v>0.65</v>
      </c>
      <c r="X32" s="57" t="inlineStr">
        <is>
          <t>BASE</t>
        </is>
      </c>
      <c r="Y32" s="57" t="n">
        <v>78</v>
      </c>
      <c r="Z32" s="57" t="inlineStr">
        <is>
          <t>PD</t>
        </is>
      </c>
      <c r="AA32" s="57" t="n">
        <v>16685.69</v>
      </c>
      <c r="AB32" s="57" t="n">
        <v>-65.06999999999999</v>
      </c>
      <c r="AC32" s="57" t="n">
        <v>91731.45</v>
      </c>
      <c r="AD32" s="57" t="n">
        <v>19.477</v>
      </c>
      <c r="AE32" s="57" t="n">
        <v>-1301.459</v>
      </c>
      <c r="AF32" s="57" t="n">
        <v>-18.573</v>
      </c>
      <c r="AH32" s="57" t="inlineStr">
        <is>
          <t>BASE</t>
        </is>
      </c>
      <c r="AI32" s="57" t="n">
        <v>78</v>
      </c>
      <c r="AJ32" s="57" t="inlineStr">
        <is>
          <t>PL</t>
        </is>
      </c>
      <c r="AK32" s="57" t="n">
        <v>5909.83</v>
      </c>
      <c r="AL32" s="57" t="n">
        <v>14.61</v>
      </c>
      <c r="AM32" s="57" t="n">
        <v>32360.05</v>
      </c>
      <c r="AN32" s="57" t="n">
        <v>-80.77500000000001</v>
      </c>
      <c r="AO32" s="57" t="n">
        <v>-654.651</v>
      </c>
      <c r="AP32" s="57" t="n">
        <v>-14.975</v>
      </c>
    </row>
    <row r="33">
      <c r="A33" s="95" t="inlineStr">
        <is>
          <t>3°</t>
        </is>
      </c>
      <c r="B33" s="71" t="inlineStr">
        <is>
          <t>Reaccion Neta del Terreno</t>
        </is>
      </c>
      <c r="C33" s="95" t="n"/>
      <c r="D33" s="95" t="n"/>
      <c r="E33" s="95" t="n"/>
      <c r="F33" s="95" t="n"/>
      <c r="G33" s="95" t="n"/>
      <c r="H33" s="95" t="n"/>
      <c r="I33" s="95" t="n"/>
      <c r="J33" s="95" t="n"/>
      <c r="K33" s="95" t="n"/>
      <c r="L33" s="95" t="n"/>
      <c r="N33" s="59">
        <f>SUM(O33:P33)</f>
        <v/>
      </c>
      <c r="O33" s="60">
        <f>AC34</f>
        <v/>
      </c>
      <c r="P33" s="60">
        <f>AM34</f>
        <v/>
      </c>
      <c r="Q33" s="132" t="n">
        <v>0.65</v>
      </c>
      <c r="R33" s="132" t="n">
        <v>0.65</v>
      </c>
      <c r="X33" s="57" t="inlineStr">
        <is>
          <t>BASE</t>
        </is>
      </c>
      <c r="Y33" s="57" t="n">
        <v>79</v>
      </c>
      <c r="Z33" s="57" t="inlineStr">
        <is>
          <t>PD</t>
        </is>
      </c>
      <c r="AA33" s="57" t="n">
        <v>-18180.64</v>
      </c>
      <c r="AB33" s="57" t="n">
        <v>-222.26</v>
      </c>
      <c r="AC33" s="57" t="n">
        <v>94627.62</v>
      </c>
      <c r="AD33" s="57" t="n">
        <v>449.103</v>
      </c>
      <c r="AE33" s="57" t="n">
        <v>370.393</v>
      </c>
      <c r="AF33" s="57" t="n">
        <v>-18.931</v>
      </c>
      <c r="AH33" s="57" t="inlineStr">
        <is>
          <t>BASE</t>
        </is>
      </c>
      <c r="AI33" s="57" t="n">
        <v>79</v>
      </c>
      <c r="AJ33" s="57" t="inlineStr">
        <is>
          <t>PL</t>
        </is>
      </c>
      <c r="AK33" s="57" t="n">
        <v>-7005.12</v>
      </c>
      <c r="AL33" s="57" t="n">
        <v>-116.28</v>
      </c>
      <c r="AM33" s="57" t="n">
        <v>35918.04</v>
      </c>
      <c r="AN33" s="57" t="n">
        <v>256.871</v>
      </c>
      <c r="AO33" s="57" t="n">
        <v>193.47</v>
      </c>
      <c r="AP33" s="57" t="n">
        <v>-12.934</v>
      </c>
    </row>
    <row r="34" ht="3.75" customHeight="1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N34" s="59">
        <f>SUM(O34:P34)</f>
        <v/>
      </c>
      <c r="O34" s="60">
        <f>AC35</f>
        <v/>
      </c>
      <c r="P34" s="60">
        <f>AM35</f>
        <v/>
      </c>
      <c r="Q34" s="132" t="n">
        <v>0.65</v>
      </c>
      <c r="R34" s="132" t="n">
        <v>0.65</v>
      </c>
      <c r="X34" s="57" t="inlineStr">
        <is>
          <t>BASE</t>
        </is>
      </c>
      <c r="Y34" s="57" t="n">
        <v>80</v>
      </c>
      <c r="Z34" s="57" t="inlineStr">
        <is>
          <t>PD</t>
        </is>
      </c>
      <c r="AA34" s="57" t="n">
        <v>17100.79</v>
      </c>
      <c r="AB34" s="57" t="n">
        <v>-637.52</v>
      </c>
      <c r="AC34" s="57" t="n">
        <v>93921.98</v>
      </c>
      <c r="AD34" s="57" t="n">
        <v>1049.105</v>
      </c>
      <c r="AE34" s="57" t="n">
        <v>-1353.964</v>
      </c>
      <c r="AF34" s="57" t="n">
        <v>24.615</v>
      </c>
      <c r="AH34" s="57" t="inlineStr">
        <is>
          <t>BASE</t>
        </is>
      </c>
      <c r="AI34" s="57" t="n">
        <v>80</v>
      </c>
      <c r="AJ34" s="57" t="inlineStr">
        <is>
          <t>PL</t>
        </is>
      </c>
      <c r="AK34" s="57" t="n">
        <v>6113.75</v>
      </c>
      <c r="AL34" s="57" t="n">
        <v>-384.18</v>
      </c>
      <c r="AM34" s="57" t="n">
        <v>33411.03</v>
      </c>
      <c r="AN34" s="57" t="n">
        <v>656.793</v>
      </c>
      <c r="AO34" s="57" t="n">
        <v>-679.736</v>
      </c>
      <c r="AP34" s="57" t="n">
        <v>19.75</v>
      </c>
    </row>
    <row r="35">
      <c r="A35" s="95" t="n"/>
      <c r="B35" s="122" t="inlineStr">
        <is>
          <t>Pu  =</t>
        </is>
      </c>
      <c r="C35" s="132">
        <f>HLOOKUP(D2,Parametros!B8:C10,2,FALSE)*B4+HLOOKUP(D2,Parametros!B8:C10,3,FALSE)*B5</f>
        <v/>
      </c>
      <c r="D35" s="95" t="inlineStr">
        <is>
          <t>Kg</t>
        </is>
      </c>
      <c r="E35" s="95" t="n"/>
      <c r="F35" s="95" t="n"/>
      <c r="G35" s="95" t="n"/>
      <c r="H35" s="95" t="n"/>
      <c r="I35" s="95" t="n"/>
      <c r="J35" s="95" t="n"/>
      <c r="K35" s="95" t="n"/>
      <c r="L35" s="95" t="n"/>
      <c r="N35" s="59">
        <f>SUM(O35:P35)</f>
        <v/>
      </c>
      <c r="O35" s="60">
        <f>AC36</f>
        <v/>
      </c>
      <c r="P35" s="60">
        <f>AM36</f>
        <v/>
      </c>
      <c r="Q35" s="132" t="n">
        <v>0.65</v>
      </c>
      <c r="R35" s="132" t="n">
        <v>0.65</v>
      </c>
      <c r="X35" s="57" t="inlineStr">
        <is>
          <t>BASE</t>
        </is>
      </c>
      <c r="Y35" s="57" t="n">
        <v>81</v>
      </c>
      <c r="Z35" s="57" t="inlineStr">
        <is>
          <t>PD</t>
        </is>
      </c>
      <c r="AA35" s="57" t="n">
        <v>-18800.24</v>
      </c>
      <c r="AB35" s="57" t="n">
        <v>-349.81</v>
      </c>
      <c r="AC35" s="57" t="n">
        <v>98069.96000000001</v>
      </c>
      <c r="AD35" s="57" t="n">
        <v>478.121</v>
      </c>
      <c r="AE35" s="57" t="n">
        <v>405.821</v>
      </c>
      <c r="AF35" s="57" t="n">
        <v>5.309</v>
      </c>
      <c r="AH35" s="57" t="inlineStr">
        <is>
          <t>BASE</t>
        </is>
      </c>
      <c r="AI35" s="57" t="n">
        <v>81</v>
      </c>
      <c r="AJ35" s="57" t="inlineStr">
        <is>
          <t>PL</t>
        </is>
      </c>
      <c r="AK35" s="57" t="n">
        <v>-7339.2</v>
      </c>
      <c r="AL35" s="57" t="n">
        <v>-167.16</v>
      </c>
      <c r="AM35" s="57" t="n">
        <v>37777.72</v>
      </c>
      <c r="AN35" s="57" t="n">
        <v>199.203</v>
      </c>
      <c r="AO35" s="57" t="n">
        <v>211.776</v>
      </c>
      <c r="AP35" s="57" t="n">
        <v>7.713</v>
      </c>
    </row>
    <row r="36">
      <c r="A36" s="95" t="n"/>
      <c r="B36" s="122" t="inlineStr">
        <is>
          <t>Azap  =</t>
        </is>
      </c>
      <c r="C36" s="132">
        <f>PRODUCT(D27:D28)*10000</f>
        <v/>
      </c>
      <c r="D36" s="95" t="inlineStr">
        <is>
          <t>cm²</t>
        </is>
      </c>
      <c r="E36" s="95" t="n"/>
      <c r="F36" s="95" t="n"/>
      <c r="G36" s="95" t="n"/>
      <c r="H36" s="95" t="n"/>
      <c r="I36" s="95" t="n"/>
      <c r="J36" s="95" t="n"/>
      <c r="K36" s="95" t="n"/>
      <c r="L36" s="95" t="n"/>
      <c r="N36" s="59">
        <f>SUM(O36:P36)</f>
        <v/>
      </c>
      <c r="O36" s="60">
        <f>AC37</f>
        <v/>
      </c>
      <c r="P36" s="60">
        <f>AM37</f>
        <v/>
      </c>
      <c r="Q36" s="132" t="n">
        <v>0.65</v>
      </c>
      <c r="R36" s="132" t="n">
        <v>0.65</v>
      </c>
      <c r="X36" s="57" t="inlineStr">
        <is>
          <t>BASE</t>
        </is>
      </c>
      <c r="Y36" s="57" t="n">
        <v>93</v>
      </c>
      <c r="Z36" s="57" t="inlineStr">
        <is>
          <t>PD</t>
        </is>
      </c>
      <c r="AA36" s="57" t="n">
        <v>4516.91</v>
      </c>
      <c r="AB36" s="57" t="n">
        <v>1045.51</v>
      </c>
      <c r="AC36" s="57" t="n">
        <v>120942.38</v>
      </c>
      <c r="AD36" s="57" t="n">
        <v>-1429.826</v>
      </c>
      <c r="AE36" s="57" t="n">
        <v>6108.612</v>
      </c>
      <c r="AF36" s="57" t="n">
        <v>-0.97</v>
      </c>
      <c r="AH36" s="57" t="inlineStr">
        <is>
          <t>BASE</t>
        </is>
      </c>
      <c r="AI36" s="57" t="n">
        <v>93</v>
      </c>
      <c r="AJ36" s="57" t="inlineStr">
        <is>
          <t>PL</t>
        </is>
      </c>
      <c r="AK36" s="57" t="n">
        <v>2143.83</v>
      </c>
      <c r="AL36" s="57" t="n">
        <v>506.98</v>
      </c>
      <c r="AM36" s="57" t="n">
        <v>41919.71</v>
      </c>
      <c r="AN36" s="57" t="n">
        <v>-693.331</v>
      </c>
      <c r="AO36" s="57" t="n">
        <v>2894.026</v>
      </c>
      <c r="AP36" s="57" t="n">
        <v>-0.57</v>
      </c>
    </row>
    <row r="37">
      <c r="A37" s="95" t="n"/>
      <c r="B37" s="122" t="inlineStr">
        <is>
          <t>Wu  =</t>
        </is>
      </c>
      <c r="C37" s="116">
        <f>C35/C36</f>
        <v/>
      </c>
      <c r="D37" s="95" t="inlineStr">
        <is>
          <t>Kg/cm²</t>
        </is>
      </c>
      <c r="E37" s="95" t="n"/>
      <c r="F37" s="95" t="n"/>
      <c r="G37" s="95" t="n"/>
      <c r="H37" s="95" t="n"/>
      <c r="I37" s="95" t="n"/>
      <c r="J37" s="95" t="n"/>
      <c r="K37" s="95" t="n"/>
      <c r="L37" s="95" t="n"/>
      <c r="N37" s="59">
        <f>SUM(O37:P37)</f>
        <v/>
      </c>
      <c r="O37" s="60">
        <f>AC38</f>
        <v/>
      </c>
      <c r="P37" s="60">
        <f>AM38</f>
        <v/>
      </c>
      <c r="Q37" s="132" t="n">
        <v>0.65</v>
      </c>
      <c r="R37" s="132" t="n">
        <v>0.65</v>
      </c>
      <c r="X37" s="57" t="inlineStr">
        <is>
          <t>BASE</t>
        </is>
      </c>
      <c r="Y37" s="57" t="n">
        <v>94</v>
      </c>
      <c r="Z37" s="57" t="inlineStr">
        <is>
          <t>PD</t>
        </is>
      </c>
      <c r="AA37" s="57" t="n">
        <v>-2327.8</v>
      </c>
      <c r="AB37" s="57" t="n">
        <v>-646.24</v>
      </c>
      <c r="AC37" s="57" t="n">
        <v>174811.97</v>
      </c>
      <c r="AD37" s="57" t="n">
        <v>868.825</v>
      </c>
      <c r="AE37" s="57" t="n">
        <v>-3189.12</v>
      </c>
      <c r="AF37" s="57" t="n">
        <v>-0.97</v>
      </c>
      <c r="AH37" s="57" t="inlineStr">
        <is>
          <t>BASE</t>
        </is>
      </c>
      <c r="AI37" s="57" t="n">
        <v>94</v>
      </c>
      <c r="AJ37" s="57" t="inlineStr">
        <is>
          <t>PL</t>
        </is>
      </c>
      <c r="AK37" s="57" t="n">
        <v>-1008.34</v>
      </c>
      <c r="AL37" s="57" t="n">
        <v>-259.46</v>
      </c>
      <c r="AM37" s="57" t="n">
        <v>65441.12</v>
      </c>
      <c r="AN37" s="57" t="n">
        <v>348.067</v>
      </c>
      <c r="AO37" s="57" t="n">
        <v>-1387.513</v>
      </c>
      <c r="AP37" s="57" t="n">
        <v>-0.57</v>
      </c>
    </row>
    <row r="38" ht="9.75" customHeight="1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N38" s="59">
        <f>SUM(O38:P38)</f>
        <v/>
      </c>
      <c r="O38" s="60">
        <f>AC39</f>
        <v/>
      </c>
      <c r="P38" s="60">
        <f>AM39</f>
        <v/>
      </c>
      <c r="Q38" s="132" t="n">
        <v>0.65</v>
      </c>
      <c r="R38" s="132" t="n">
        <v>0.65</v>
      </c>
      <c r="X38" s="57" t="inlineStr">
        <is>
          <t>BASE</t>
        </is>
      </c>
      <c r="Y38" s="57" t="n">
        <v>95</v>
      </c>
      <c r="Z38" s="57" t="inlineStr">
        <is>
          <t>PD</t>
        </is>
      </c>
      <c r="AA38" s="57" t="n">
        <v>339.36</v>
      </c>
      <c r="AB38" s="57" t="n">
        <v>15.62</v>
      </c>
      <c r="AC38" s="57" t="n">
        <v>150495.06</v>
      </c>
      <c r="AD38" s="57" t="n">
        <v>-30.557</v>
      </c>
      <c r="AE38" s="57" t="n">
        <v>439.818</v>
      </c>
      <c r="AF38" s="57" t="n">
        <v>-0.97</v>
      </c>
      <c r="AH38" s="57" t="inlineStr">
        <is>
          <t>BASE</t>
        </is>
      </c>
      <c r="AI38" s="57" t="n">
        <v>95</v>
      </c>
      <c r="AJ38" s="57" t="inlineStr">
        <is>
          <t>PL</t>
        </is>
      </c>
      <c r="AK38" s="57" t="n">
        <v>177.31</v>
      </c>
      <c r="AL38" s="57" t="n">
        <v>8.720000000000001</v>
      </c>
      <c r="AM38" s="57" t="n">
        <v>59578.25</v>
      </c>
      <c r="AN38" s="57" t="n">
        <v>-16.367</v>
      </c>
      <c r="AO38" s="57" t="n">
        <v>226.238</v>
      </c>
      <c r="AP38" s="57" t="n">
        <v>-0.57</v>
      </c>
    </row>
    <row r="39">
      <c r="A39" s="95" t="inlineStr">
        <is>
          <t>4°</t>
        </is>
      </c>
      <c r="B39" s="76" t="inlineStr">
        <is>
          <t>Dimensionamiento de la altura hz de la Zapata</t>
        </is>
      </c>
      <c r="C39" s="95" t="n"/>
      <c r="D39" s="95" t="n"/>
      <c r="E39" s="95" t="n"/>
      <c r="F39" s="95" t="n"/>
      <c r="G39" s="95" t="n"/>
      <c r="H39" s="95" t="n"/>
      <c r="I39" s="95" t="n"/>
      <c r="J39" s="95" t="n"/>
      <c r="K39" s="95" t="n"/>
      <c r="L39" s="95" t="n"/>
      <c r="N39" s="59">
        <f>SUM(O39:P39)</f>
        <v/>
      </c>
      <c r="O39" s="60">
        <f>AC40</f>
        <v/>
      </c>
      <c r="P39" s="60">
        <f>AM40</f>
        <v/>
      </c>
      <c r="Q39" s="132" t="n">
        <v>0.65</v>
      </c>
      <c r="R39" s="132" t="n">
        <v>0.65</v>
      </c>
      <c r="X39" s="57" t="inlineStr">
        <is>
          <t>BASE</t>
        </is>
      </c>
      <c r="Y39" s="57" t="n">
        <v>96</v>
      </c>
      <c r="Z39" s="57" t="inlineStr">
        <is>
          <t>PD</t>
        </is>
      </c>
      <c r="AA39" s="57" t="n">
        <v>508.94</v>
      </c>
      <c r="AB39" s="57" t="n">
        <v>34.79</v>
      </c>
      <c r="AC39" s="57" t="n">
        <v>142970.49</v>
      </c>
      <c r="AD39" s="57" t="n">
        <v>-56.741</v>
      </c>
      <c r="AE39" s="57" t="n">
        <v>673.841</v>
      </c>
      <c r="AF39" s="57" t="n">
        <v>-0.97</v>
      </c>
      <c r="AH39" s="57" t="inlineStr">
        <is>
          <t>BASE</t>
        </is>
      </c>
      <c r="AI39" s="57" t="n">
        <v>96</v>
      </c>
      <c r="AJ39" s="57" t="inlineStr">
        <is>
          <t>PL</t>
        </is>
      </c>
      <c r="AK39" s="57" t="n">
        <v>259.03</v>
      </c>
      <c r="AL39" s="57" t="n">
        <v>17.6</v>
      </c>
      <c r="AM39" s="57" t="n">
        <v>56329.39</v>
      </c>
      <c r="AN39" s="57" t="n">
        <v>-28.498</v>
      </c>
      <c r="AO39" s="57" t="n">
        <v>339.256</v>
      </c>
      <c r="AP39" s="57" t="n">
        <v>-0.57</v>
      </c>
    </row>
    <row r="40" ht="8.25" customHeight="1">
      <c r="A40" s="95" t="n"/>
      <c r="B40" s="95" t="n"/>
      <c r="C40" s="95" t="n"/>
      <c r="D40" s="95" t="n"/>
      <c r="E40" s="95" t="n"/>
      <c r="F40" s="95" t="n"/>
      <c r="G40" s="95" t="n"/>
      <c r="H40" s="95" t="n"/>
      <c r="I40" s="95" t="n"/>
      <c r="J40" s="95" t="n"/>
      <c r="K40" s="95" t="n"/>
      <c r="L40" s="95" t="n"/>
      <c r="N40" s="59">
        <f>SUM(O40:P40)</f>
        <v/>
      </c>
      <c r="O40" s="60">
        <f>AC41</f>
        <v/>
      </c>
      <c r="P40" s="60">
        <f>AM41</f>
        <v/>
      </c>
      <c r="Q40" s="132" t="n">
        <v>0.65</v>
      </c>
      <c r="R40" s="132" t="n">
        <v>0.65</v>
      </c>
      <c r="X40" s="57" t="inlineStr">
        <is>
          <t>BASE</t>
        </is>
      </c>
      <c r="Y40" s="57" t="n">
        <v>97</v>
      </c>
      <c r="Z40" s="57" t="inlineStr">
        <is>
          <t>PD</t>
        </is>
      </c>
      <c r="AA40" s="57" t="n">
        <v>552.16</v>
      </c>
      <c r="AB40" s="57" t="n">
        <v>-84.89</v>
      </c>
      <c r="AC40" s="57" t="n">
        <v>136509.75</v>
      </c>
      <c r="AD40" s="57" t="n">
        <v>106.753</v>
      </c>
      <c r="AE40" s="57" t="n">
        <v>735.224</v>
      </c>
      <c r="AF40" s="57" t="n">
        <v>-0.97</v>
      </c>
      <c r="AH40" s="57" t="inlineStr">
        <is>
          <t>BASE</t>
        </is>
      </c>
      <c r="AI40" s="57" t="n">
        <v>97</v>
      </c>
      <c r="AJ40" s="57" t="inlineStr">
        <is>
          <t>PL</t>
        </is>
      </c>
      <c r="AK40" s="57" t="n">
        <v>279.47</v>
      </c>
      <c r="AL40" s="57" t="n">
        <v>-42.2</v>
      </c>
      <c r="AM40" s="57" t="n">
        <v>53297.74</v>
      </c>
      <c r="AN40" s="57" t="n">
        <v>53.203</v>
      </c>
      <c r="AO40" s="57" t="n">
        <v>368.568</v>
      </c>
      <c r="AP40" s="57" t="n">
        <v>-0.57</v>
      </c>
    </row>
    <row r="41">
      <c r="A41" s="95" t="n"/>
      <c r="B41" s="71" t="inlineStr">
        <is>
          <t>● Por Punzonamiento</t>
        </is>
      </c>
      <c r="C41" s="95" t="n"/>
      <c r="D41" s="95" t="n"/>
      <c r="E41" s="95" t="n"/>
      <c r="F41" s="95" t="n"/>
      <c r="G41" s="95" t="n"/>
      <c r="H41" s="95" t="n"/>
      <c r="I41" s="95" t="n"/>
      <c r="J41" s="95" t="n"/>
      <c r="K41" s="95" t="n"/>
      <c r="L41" s="95" t="n"/>
      <c r="N41" s="59">
        <f>SUM(O41:P41)</f>
        <v/>
      </c>
      <c r="O41" s="60">
        <f>AC42</f>
        <v/>
      </c>
      <c r="P41" s="60">
        <f>AM42</f>
        <v/>
      </c>
      <c r="Q41" s="132" t="n">
        <v>0.65</v>
      </c>
      <c r="R41" s="132" t="n">
        <v>0.65</v>
      </c>
      <c r="X41" s="57" t="inlineStr">
        <is>
          <t>BASE</t>
        </is>
      </c>
      <c r="Y41" s="57" t="n">
        <v>98</v>
      </c>
      <c r="Z41" s="57" t="inlineStr">
        <is>
          <t>PD</t>
        </is>
      </c>
      <c r="AA41" s="57" t="n">
        <v>-104.86</v>
      </c>
      <c r="AB41" s="57" t="n">
        <v>236.57</v>
      </c>
      <c r="AC41" s="57" t="n">
        <v>141356.79</v>
      </c>
      <c r="AD41" s="57" t="n">
        <v>-327.166</v>
      </c>
      <c r="AE41" s="57" t="n">
        <v>-171.147</v>
      </c>
      <c r="AF41" s="57" t="n">
        <v>-0.97</v>
      </c>
      <c r="AH41" s="57" t="inlineStr">
        <is>
          <t>BASE</t>
        </is>
      </c>
      <c r="AI41" s="57" t="n">
        <v>98</v>
      </c>
      <c r="AJ41" s="57" t="inlineStr">
        <is>
          <t>PL</t>
        </is>
      </c>
      <c r="AK41" s="57" t="n">
        <v>-50.24</v>
      </c>
      <c r="AL41" s="57" t="n">
        <v>125.47</v>
      </c>
      <c r="AM41" s="57" t="n">
        <v>54383.59</v>
      </c>
      <c r="AN41" s="57" t="n">
        <v>-172.886</v>
      </c>
      <c r="AO41" s="57" t="n">
        <v>-87.123</v>
      </c>
      <c r="AP41" s="57" t="n">
        <v>-0.57</v>
      </c>
    </row>
    <row r="42">
      <c r="A42" s="95" t="n"/>
      <c r="B42" s="95" t="n"/>
      <c r="C42" s="95" t="n"/>
      <c r="D42" s="117" t="inlineStr">
        <is>
          <t>φ  =</t>
        </is>
      </c>
      <c r="E42" s="76">
        <f>HLOOKUP(D2,Parametros!B2:C5,4,FALSE)</f>
        <v/>
      </c>
      <c r="F42" s="95" t="n"/>
      <c r="G42" s="95" t="n"/>
      <c r="H42" s="95" t="n"/>
      <c r="I42" s="95" t="n"/>
      <c r="J42" s="95" t="n"/>
      <c r="K42" s="95" t="n"/>
      <c r="L42" s="95" t="n"/>
      <c r="N42" s="59">
        <f>SUM(O42:P42)</f>
        <v/>
      </c>
      <c r="O42" s="60">
        <f>AC43</f>
        <v/>
      </c>
      <c r="P42" s="60">
        <f>AM43</f>
        <v/>
      </c>
      <c r="Q42" s="132" t="n">
        <v>0.65</v>
      </c>
      <c r="R42" s="132" t="n">
        <v>0.65</v>
      </c>
      <c r="X42" s="57" t="inlineStr">
        <is>
          <t>BASE</t>
        </is>
      </c>
      <c r="Y42" s="57" t="n">
        <v>99</v>
      </c>
      <c r="Z42" s="57" t="inlineStr">
        <is>
          <t>PD</t>
        </is>
      </c>
      <c r="AA42" s="57" t="n">
        <v>-33.4</v>
      </c>
      <c r="AB42" s="57" t="n">
        <v>-14.84</v>
      </c>
      <c r="AC42" s="57" t="n">
        <v>154124.09</v>
      </c>
      <c r="AD42" s="57" t="n">
        <v>14.574</v>
      </c>
      <c r="AE42" s="57" t="n">
        <v>-64.768</v>
      </c>
      <c r="AF42" s="57" t="n">
        <v>-0.97</v>
      </c>
      <c r="AH42" s="57" t="inlineStr">
        <is>
          <t>BASE</t>
        </is>
      </c>
      <c r="AI42" s="57" t="n">
        <v>99</v>
      </c>
      <c r="AJ42" s="57" t="inlineStr">
        <is>
          <t>PL</t>
        </is>
      </c>
      <c r="AK42" s="57" t="n">
        <v>-16.61</v>
      </c>
      <c r="AL42" s="57" t="n">
        <v>-9.09</v>
      </c>
      <c r="AM42" s="57" t="n">
        <v>60854.82</v>
      </c>
      <c r="AN42" s="57" t="n">
        <v>10.029</v>
      </c>
      <c r="AO42" s="57" t="n">
        <v>-35.943</v>
      </c>
      <c r="AP42" s="57" t="n">
        <v>-0.57</v>
      </c>
    </row>
    <row r="43">
      <c r="A43" s="95" t="n"/>
      <c r="B43" s="122" t="inlineStr">
        <is>
          <t>Vu  =</t>
        </is>
      </c>
      <c r="C43" s="95">
        <f>CONCATENATE(C35," - ",ROUND(C37,2),"(",B8*100," + d)(",B9*100," + d)")</f>
        <v/>
      </c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N43" s="59">
        <f>SUM(O43:P43)</f>
        <v/>
      </c>
      <c r="O43" s="60">
        <f>AC44</f>
        <v/>
      </c>
      <c r="P43" s="60">
        <f>AM44</f>
        <v/>
      </c>
      <c r="Q43" s="132" t="n">
        <v>0.65</v>
      </c>
      <c r="R43" s="132" t="n">
        <v>0.65</v>
      </c>
      <c r="X43" s="57" t="inlineStr">
        <is>
          <t>BASE</t>
        </is>
      </c>
      <c r="Y43" s="57" t="n">
        <v>100</v>
      </c>
      <c r="Z43" s="57" t="inlineStr">
        <is>
          <t>PD</t>
        </is>
      </c>
      <c r="AA43" s="57" t="n">
        <v>-1401.52</v>
      </c>
      <c r="AB43" s="57" t="n">
        <v>577.41</v>
      </c>
      <c r="AC43" s="57" t="n">
        <v>163113.19</v>
      </c>
      <c r="AD43" s="57" t="n">
        <v>-786.741</v>
      </c>
      <c r="AE43" s="57" t="n">
        <v>-1932.965</v>
      </c>
      <c r="AF43" s="57" t="n">
        <v>-0.97</v>
      </c>
      <c r="AH43" s="57" t="inlineStr">
        <is>
          <t>BASE</t>
        </is>
      </c>
      <c r="AI43" s="57" t="n">
        <v>100</v>
      </c>
      <c r="AJ43" s="57" t="inlineStr">
        <is>
          <t>PL</t>
        </is>
      </c>
      <c r="AK43" s="57" t="n">
        <v>-682.99</v>
      </c>
      <c r="AL43" s="57" t="n">
        <v>285.41</v>
      </c>
      <c r="AM43" s="57" t="n">
        <v>61635.68</v>
      </c>
      <c r="AN43" s="57" t="n">
        <v>-388.128</v>
      </c>
      <c r="AO43" s="57" t="n">
        <v>-946.869</v>
      </c>
      <c r="AP43" s="57" t="n">
        <v>-0.57</v>
      </c>
    </row>
    <row r="44">
      <c r="A44" s="95" t="n"/>
      <c r="B44" s="122" t="inlineStr">
        <is>
          <t>φVc  =</t>
        </is>
      </c>
      <c r="C44" s="95" t="n"/>
      <c r="D44" s="95" t="n"/>
      <c r="E44" s="95" t="n"/>
      <c r="F44" s="95" t="n"/>
      <c r="G44" s="95" t="n"/>
      <c r="H44" s="95" t="n"/>
      <c r="I44" s="95" t="n"/>
      <c r="J44" s="95" t="n"/>
      <c r="K44" s="95" t="n"/>
      <c r="L44" s="95" t="n"/>
      <c r="N44" s="59">
        <f>SUM(O44:P44)</f>
        <v/>
      </c>
      <c r="O44" s="60">
        <f>AC45</f>
        <v/>
      </c>
      <c r="P44" s="60">
        <f>AM45</f>
        <v/>
      </c>
      <c r="Q44" s="132" t="n">
        <v>0.65</v>
      </c>
      <c r="R44" s="132" t="n">
        <v>0.65</v>
      </c>
      <c r="X44" s="57" t="inlineStr">
        <is>
          <t>BASE</t>
        </is>
      </c>
      <c r="Y44" s="57" t="n">
        <v>101</v>
      </c>
      <c r="Z44" s="57" t="inlineStr">
        <is>
          <t>PD</t>
        </is>
      </c>
      <c r="AA44" s="57" t="n">
        <v>1932.39</v>
      </c>
      <c r="AB44" s="57" t="n">
        <v>842.16</v>
      </c>
      <c r="AC44" s="57" t="n">
        <v>177552.17</v>
      </c>
      <c r="AD44" s="57" t="n">
        <v>-1146.464</v>
      </c>
      <c r="AE44" s="57" t="n">
        <v>2606.407</v>
      </c>
      <c r="AF44" s="57" t="n">
        <v>-0.97</v>
      </c>
      <c r="AH44" s="57" t="inlineStr">
        <is>
          <t>BASE</t>
        </is>
      </c>
      <c r="AI44" s="57" t="n">
        <v>101</v>
      </c>
      <c r="AJ44" s="57" t="inlineStr">
        <is>
          <t>PL</t>
        </is>
      </c>
      <c r="AK44" s="57" t="n">
        <v>822.01</v>
      </c>
      <c r="AL44" s="57" t="n">
        <v>357.37</v>
      </c>
      <c r="AM44" s="57" t="n">
        <v>68900.73</v>
      </c>
      <c r="AN44" s="57" t="n">
        <v>-485.903</v>
      </c>
      <c r="AO44" s="57" t="n">
        <v>1103.591</v>
      </c>
      <c r="AP44" s="57" t="n">
        <v>-0.57</v>
      </c>
    </row>
    <row r="45">
      <c r="A45" s="95" t="n"/>
      <c r="B45" s="95" t="n"/>
      <c r="C45" s="95" t="n"/>
      <c r="D45" s="95" t="n"/>
      <c r="E45" s="95" t="n"/>
      <c r="F45" s="95" t="n"/>
      <c r="G45" s="95" t="n"/>
      <c r="H45" s="95" t="n"/>
      <c r="I45" s="95" t="n"/>
      <c r="J45" s="95" t="n"/>
      <c r="K45" s="95" t="n"/>
      <c r="L45" s="95" t="n"/>
      <c r="N45" s="59">
        <f>SUM(O45:P45)</f>
        <v/>
      </c>
      <c r="O45" s="60">
        <f>AC46</f>
        <v/>
      </c>
      <c r="P45" s="60">
        <f>AM46</f>
        <v/>
      </c>
      <c r="Q45" s="132" t="n">
        <v>0.65</v>
      </c>
      <c r="R45" s="132" t="n">
        <v>0.65</v>
      </c>
      <c r="X45" s="57" t="inlineStr">
        <is>
          <t>BASE</t>
        </is>
      </c>
      <c r="Y45" s="57" t="n">
        <v>102</v>
      </c>
      <c r="Z45" s="57" t="inlineStr">
        <is>
          <t>PD</t>
        </is>
      </c>
      <c r="AA45" s="57" t="n">
        <v>1167.83</v>
      </c>
      <c r="AB45" s="57" t="n">
        <v>1070.88</v>
      </c>
      <c r="AC45" s="57" t="n">
        <v>184267.63</v>
      </c>
      <c r="AD45" s="57" t="n">
        <v>-1453.711</v>
      </c>
      <c r="AE45" s="57" t="n">
        <v>1558.098</v>
      </c>
      <c r="AF45" s="57" t="n">
        <v>-0.97</v>
      </c>
      <c r="AH45" s="57" t="inlineStr">
        <is>
          <t>BASE</t>
        </is>
      </c>
      <c r="AI45" s="57" t="n">
        <v>102</v>
      </c>
      <c r="AJ45" s="57" t="inlineStr">
        <is>
          <t>PL</t>
        </is>
      </c>
      <c r="AK45" s="57" t="n">
        <v>592.78</v>
      </c>
      <c r="AL45" s="57" t="n">
        <v>543.02</v>
      </c>
      <c r="AM45" s="57" t="n">
        <v>72614.50999999999</v>
      </c>
      <c r="AN45" s="57" t="n">
        <v>-736.074</v>
      </c>
      <c r="AO45" s="57" t="n">
        <v>786.563</v>
      </c>
      <c r="AP45" s="57" t="n">
        <v>-0.57</v>
      </c>
    </row>
    <row r="46">
      <c r="A46" s="95" t="n"/>
      <c r="B46" s="122" t="inlineStr">
        <is>
          <t xml:space="preserve">d  = </t>
        </is>
      </c>
      <c r="C46" s="72">
        <f>ROUND(-(53*E42*SQRT(B13)*B8*100+53*E42*SQRT(B13)*B9*100+25*C37*B8*100+25*C37*B9*100-SQRT(625*(C37*B8*100)^2+625*(C37*B9*100)^2-1250*B8*B9*10000*C37^2+10600*E42*C35*SQRT(B13)+2650*E42*C37*SQRT(B13)*(B8*100)^2+2650*E42*C37*SQRT(B13)*(B9*100)^2-5300*E42*C37*SQRT(B13)*B8*B9*10000+2500*C35*C37+B13*(2809*(E42*B8*100)^2+2809*(E42*B9*100)^2+5618*B8*B9*10000*E42^2)))/(2*106*E42*SQRT(B13)+25*C37),2)</f>
        <v/>
      </c>
      <c r="D46" s="95" t="inlineStr">
        <is>
          <t>cm</t>
        </is>
      </c>
      <c r="E46" s="95" t="n"/>
      <c r="F46" s="95" t="n"/>
      <c r="G46" s="95" t="n"/>
      <c r="H46" s="95" t="n"/>
      <c r="I46" s="95" t="n"/>
      <c r="J46" s="95" t="n"/>
      <c r="K46" s="95" t="n"/>
      <c r="L46" s="95" t="n"/>
      <c r="M46" s="57" t="inlineStr">
        <is>
          <t>4E</t>
        </is>
      </c>
      <c r="N46" s="59">
        <f>SUM(O46:P46)</f>
        <v/>
      </c>
      <c r="O46" s="60">
        <f>AC47</f>
        <v/>
      </c>
      <c r="P46" s="60">
        <f>AM47</f>
        <v/>
      </c>
      <c r="Q46" s="132" t="n">
        <v>0.65</v>
      </c>
      <c r="R46" s="132" t="n">
        <v>0.65</v>
      </c>
      <c r="X46" s="57" t="inlineStr">
        <is>
          <t>BASE</t>
        </is>
      </c>
      <c r="Y46" s="57" t="n">
        <v>103</v>
      </c>
      <c r="Z46" s="57" t="inlineStr">
        <is>
          <t>PD</t>
        </is>
      </c>
      <c r="AA46" s="57" t="n">
        <v>-25.86</v>
      </c>
      <c r="AB46" s="57" t="n">
        <v>-8.369999999999999</v>
      </c>
      <c r="AC46" s="57" t="n">
        <v>204454</v>
      </c>
      <c r="AD46" s="57" t="n">
        <v>12.759</v>
      </c>
      <c r="AE46" s="57" t="n">
        <v>-61.482</v>
      </c>
      <c r="AF46" s="57" t="n">
        <v>-0.97</v>
      </c>
      <c r="AH46" s="57" t="inlineStr">
        <is>
          <t>BASE</t>
        </is>
      </c>
      <c r="AI46" s="57" t="n">
        <v>103</v>
      </c>
      <c r="AJ46" s="57" t="inlineStr">
        <is>
          <t>PL</t>
        </is>
      </c>
      <c r="AK46" s="57" t="n">
        <v>-12.3</v>
      </c>
      <c r="AL46" s="57" t="n">
        <v>-3.11</v>
      </c>
      <c r="AM46" s="57" t="n">
        <v>84050.16</v>
      </c>
      <c r="AN46" s="57" t="n">
        <v>5.994</v>
      </c>
      <c r="AO46" s="57" t="n">
        <v>-34.184</v>
      </c>
      <c r="AP46" s="57" t="n">
        <v>-0.57</v>
      </c>
    </row>
    <row r="47">
      <c r="A47" s="95" t="n"/>
      <c r="B47" s="122" t="inlineStr">
        <is>
          <t>r  =</t>
        </is>
      </c>
      <c r="C47" s="65" t="n">
        <v>7.5</v>
      </c>
      <c r="D47" s="95" t="inlineStr">
        <is>
          <t>cm</t>
        </is>
      </c>
      <c r="E47" s="95" t="n"/>
      <c r="F47" s="95" t="n"/>
      <c r="G47" s="95" t="n"/>
      <c r="H47" s="95" t="n"/>
      <c r="I47" s="95" t="n"/>
      <c r="J47" s="95" t="n"/>
      <c r="K47" s="95" t="n"/>
      <c r="L47" s="95" t="n"/>
      <c r="N47" s="59">
        <f>SUM(O47:P47)</f>
        <v/>
      </c>
      <c r="O47" s="60">
        <f>AC48</f>
        <v/>
      </c>
      <c r="P47" s="60">
        <f>AM48</f>
        <v/>
      </c>
      <c r="Q47" s="132" t="n">
        <v>0.65</v>
      </c>
      <c r="R47" s="132" t="n">
        <v>0.65</v>
      </c>
      <c r="X47" s="57" t="inlineStr">
        <is>
          <t>BASE</t>
        </is>
      </c>
      <c r="Y47" s="57" t="n">
        <v>104</v>
      </c>
      <c r="Z47" s="57" t="inlineStr">
        <is>
          <t>PD</t>
        </is>
      </c>
      <c r="AA47" s="57" t="n">
        <v>47.46</v>
      </c>
      <c r="AB47" s="57" t="n">
        <v>128.62</v>
      </c>
      <c r="AC47" s="57" t="n">
        <v>206225.55</v>
      </c>
      <c r="AD47" s="57" t="n">
        <v>-174.399</v>
      </c>
      <c r="AE47" s="57" t="n">
        <v>41.018</v>
      </c>
      <c r="AF47" s="57" t="n">
        <v>-0.97</v>
      </c>
      <c r="AH47" s="57" t="inlineStr">
        <is>
          <t>BASE</t>
        </is>
      </c>
      <c r="AI47" s="57" t="n">
        <v>104</v>
      </c>
      <c r="AJ47" s="57" t="inlineStr">
        <is>
          <t>PL</t>
        </is>
      </c>
      <c r="AK47" s="57" t="n">
        <v>24.82</v>
      </c>
      <c r="AL47" s="57" t="n">
        <v>65.89</v>
      </c>
      <c r="AM47" s="57" t="n">
        <v>85190.97</v>
      </c>
      <c r="AN47" s="57" t="n">
        <v>-88.285</v>
      </c>
      <c r="AO47" s="57" t="n">
        <v>17.902</v>
      </c>
      <c r="AP47" s="57" t="n">
        <v>-0.57</v>
      </c>
    </row>
    <row r="48">
      <c r="A48" s="95" t="n"/>
      <c r="B48" s="117" t="inlineStr">
        <is>
          <t>Diametro de Varilla φ :</t>
        </is>
      </c>
      <c r="D48" s="73" t="inlineStr">
        <is>
          <t>5/8"</t>
        </is>
      </c>
      <c r="E48" s="122" t="inlineStr">
        <is>
          <t>hz  =</t>
        </is>
      </c>
      <c r="F48" s="132">
        <f>ROUND(C46+C47+VLOOKUP(D48,Parametros!E2:G6,2,FALSE),0)</f>
        <v/>
      </c>
      <c r="G48" s="95" t="inlineStr">
        <is>
          <t>cm</t>
        </is>
      </c>
      <c r="H48" s="95" t="n"/>
      <c r="I48" s="100" t="inlineStr">
        <is>
          <t>hz  =</t>
        </is>
      </c>
      <c r="J48" s="101" t="n">
        <v>30</v>
      </c>
      <c r="K48" s="100" t="inlineStr">
        <is>
          <t>cm</t>
        </is>
      </c>
      <c r="L48" s="95" t="n"/>
      <c r="N48" s="59">
        <f>SUM(O48:P48)</f>
        <v/>
      </c>
      <c r="O48" s="60">
        <f>AC49</f>
        <v/>
      </c>
      <c r="P48" s="60">
        <f>AM49</f>
        <v/>
      </c>
      <c r="Q48" s="132" t="n">
        <v>0.65</v>
      </c>
      <c r="R48" s="132" t="n">
        <v>0.65</v>
      </c>
      <c r="X48" s="57" t="inlineStr">
        <is>
          <t>BASE</t>
        </is>
      </c>
      <c r="Y48" s="57" t="n">
        <v>105</v>
      </c>
      <c r="Z48" s="57" t="inlineStr">
        <is>
          <t>PD</t>
        </is>
      </c>
      <c r="AA48" s="57" t="n">
        <v>27.59</v>
      </c>
      <c r="AB48" s="57" t="n">
        <v>-201.73</v>
      </c>
      <c r="AC48" s="57" t="n">
        <v>204060.79</v>
      </c>
      <c r="AD48" s="57" t="n">
        <v>276.933</v>
      </c>
      <c r="AE48" s="57" t="n">
        <v>16.223</v>
      </c>
      <c r="AF48" s="57" t="n">
        <v>-0.97</v>
      </c>
      <c r="AH48" s="57" t="inlineStr">
        <is>
          <t>BASE</t>
        </is>
      </c>
      <c r="AI48" s="57" t="n">
        <v>105</v>
      </c>
      <c r="AJ48" s="57" t="inlineStr">
        <is>
          <t>PL</t>
        </is>
      </c>
      <c r="AK48" s="57" t="n">
        <v>15.61</v>
      </c>
      <c r="AL48" s="57" t="n">
        <v>-103.14</v>
      </c>
      <c r="AM48" s="57" t="n">
        <v>84172.89</v>
      </c>
      <c r="AN48" s="57" t="n">
        <v>142.647</v>
      </c>
      <c r="AO48" s="57" t="n">
        <v>6.694</v>
      </c>
      <c r="AP48" s="57" t="n">
        <v>-0.57</v>
      </c>
    </row>
    <row r="49">
      <c r="A49" s="95" t="n"/>
      <c r="B49" s="117" t="inlineStr">
        <is>
          <t>dprom  =</t>
        </is>
      </c>
      <c r="C49" s="125">
        <f>J48-C47-VLOOKUP(D48,Parametros!E2:G6,2,FALSE)</f>
        <v/>
      </c>
      <c r="D49" s="71" t="inlineStr">
        <is>
          <t>cm</t>
        </is>
      </c>
      <c r="E49" s="95" t="n"/>
      <c r="F49" s="95" t="n"/>
      <c r="G49" s="95" t="n"/>
      <c r="H49" s="95" t="n"/>
      <c r="I49" s="95" t="n"/>
      <c r="J49" s="95" t="n"/>
      <c r="K49" s="95" t="n"/>
      <c r="L49" s="95" t="n"/>
      <c r="N49" s="59">
        <f>SUM(O49:P49)</f>
        <v/>
      </c>
      <c r="O49" s="60">
        <f>AC50</f>
        <v/>
      </c>
      <c r="P49" s="60">
        <f>AM50</f>
        <v/>
      </c>
      <c r="Q49" s="132" t="n">
        <v>0.65</v>
      </c>
      <c r="R49" s="132" t="n">
        <v>0.65</v>
      </c>
      <c r="X49" s="57" t="inlineStr">
        <is>
          <t>BASE</t>
        </is>
      </c>
      <c r="Y49" s="57" t="n">
        <v>106</v>
      </c>
      <c r="Z49" s="57" t="inlineStr">
        <is>
          <t>PD</t>
        </is>
      </c>
      <c r="AA49" s="57" t="n">
        <v>1071.01</v>
      </c>
      <c r="AB49" s="57" t="n">
        <v>986.83</v>
      </c>
      <c r="AC49" s="57" t="n">
        <v>205779.04</v>
      </c>
      <c r="AD49" s="57" t="n">
        <v>-1339.511</v>
      </c>
      <c r="AE49" s="57" t="n">
        <v>1436.021</v>
      </c>
      <c r="AF49" s="57" t="n">
        <v>-0.97</v>
      </c>
      <c r="AH49" s="57" t="inlineStr">
        <is>
          <t>BASE</t>
        </is>
      </c>
      <c r="AI49" s="57" t="n">
        <v>106</v>
      </c>
      <c r="AJ49" s="57" t="inlineStr">
        <is>
          <t>PL</t>
        </is>
      </c>
      <c r="AK49" s="57" t="n">
        <v>545.9400000000001</v>
      </c>
      <c r="AL49" s="57" t="n">
        <v>494.91</v>
      </c>
      <c r="AM49" s="57" t="n">
        <v>83747.92</v>
      </c>
      <c r="AN49" s="57" t="n">
        <v>-670.7089999999999</v>
      </c>
      <c r="AO49" s="57" t="n">
        <v>728.498</v>
      </c>
      <c r="AP49" s="57" t="n">
        <v>-0.57</v>
      </c>
    </row>
    <row r="50" ht="15" customHeight="1">
      <c r="A50" s="95" t="n"/>
      <c r="B50" s="95" t="n"/>
      <c r="C50" s="95" t="n"/>
      <c r="D50" s="95" t="n"/>
      <c r="E50" s="95" t="n"/>
      <c r="F50" s="118" t="inlineStr">
        <is>
          <t>Vu/φVc  =</t>
        </is>
      </c>
      <c r="I50" s="119">
        <f>N83/N82</f>
        <v/>
      </c>
      <c r="K50" s="74" t="n"/>
      <c r="L50" s="95" t="n"/>
      <c r="N50" s="59">
        <f>SUM(O50:P50)</f>
        <v/>
      </c>
      <c r="O50" s="60">
        <f>AC51</f>
        <v/>
      </c>
      <c r="P50" s="60">
        <f>AM51</f>
        <v/>
      </c>
      <c r="Q50" s="132" t="n">
        <v>0.65</v>
      </c>
      <c r="R50" s="132" t="n">
        <v>0.65</v>
      </c>
      <c r="X50" s="57" t="inlineStr">
        <is>
          <t>BASE</t>
        </is>
      </c>
      <c r="Y50" s="57" t="n">
        <v>107</v>
      </c>
      <c r="Z50" s="57" t="inlineStr">
        <is>
          <t>PD</t>
        </is>
      </c>
      <c r="AA50" s="57" t="n">
        <v>-1147.31</v>
      </c>
      <c r="AB50" s="57" t="n">
        <v>338.5</v>
      </c>
      <c r="AC50" s="57" t="n">
        <v>174786.51</v>
      </c>
      <c r="AD50" s="57" t="n">
        <v>-455.073</v>
      </c>
      <c r="AE50" s="57" t="n">
        <v>-1587.566</v>
      </c>
      <c r="AF50" s="57" t="n">
        <v>-0.97</v>
      </c>
      <c r="AH50" s="57" t="inlineStr">
        <is>
          <t>BASE</t>
        </is>
      </c>
      <c r="AI50" s="57" t="n">
        <v>107</v>
      </c>
      <c r="AJ50" s="57" t="inlineStr">
        <is>
          <t>PL</t>
        </is>
      </c>
      <c r="AK50" s="57" t="n">
        <v>-586.29</v>
      </c>
      <c r="AL50" s="57" t="n">
        <v>164.45</v>
      </c>
      <c r="AM50" s="57" t="n">
        <v>68480.72</v>
      </c>
      <c r="AN50" s="57" t="n">
        <v>-219.621</v>
      </c>
      <c r="AO50" s="57" t="n">
        <v>-815.478</v>
      </c>
      <c r="AP50" s="57" t="n">
        <v>-0.57</v>
      </c>
    </row>
    <row r="51">
      <c r="A51" s="95" t="n"/>
      <c r="B51" s="95" t="n"/>
      <c r="C51" s="95" t="n"/>
      <c r="D51" s="95" t="n"/>
      <c r="E51" s="95" t="n"/>
      <c r="F51" s="95" t="n"/>
      <c r="G51" s="95" t="n"/>
      <c r="H51" s="95" t="n"/>
      <c r="I51" s="95" t="n"/>
      <c r="J51" s="95" t="n"/>
      <c r="K51" s="95" t="n"/>
      <c r="L51" s="95" t="n"/>
      <c r="N51" s="59">
        <f>SUM(O51:P51)</f>
        <v/>
      </c>
      <c r="O51" s="60">
        <f>AC52</f>
        <v/>
      </c>
      <c r="P51" s="60">
        <f>AM52</f>
        <v/>
      </c>
      <c r="Q51" s="132" t="n">
        <v>0.65</v>
      </c>
      <c r="R51" s="132" t="n">
        <v>0.65</v>
      </c>
      <c r="X51" s="57" t="inlineStr">
        <is>
          <t>BASE</t>
        </is>
      </c>
      <c r="Y51" s="57" t="n">
        <v>108</v>
      </c>
      <c r="Z51" s="57" t="inlineStr">
        <is>
          <t>PD</t>
        </is>
      </c>
      <c r="AA51" s="57" t="n">
        <v>-1365.45</v>
      </c>
      <c r="AB51" s="57" t="n">
        <v>-188.28</v>
      </c>
      <c r="AC51" s="57" t="n">
        <v>149521.96</v>
      </c>
      <c r="AD51" s="57" t="n">
        <v>260.682</v>
      </c>
      <c r="AE51" s="57" t="n">
        <v>-1879.183</v>
      </c>
      <c r="AF51" s="57" t="n">
        <v>-0.97</v>
      </c>
      <c r="AH51" s="57" t="inlineStr">
        <is>
          <t>BASE</t>
        </is>
      </c>
      <c r="AI51" s="57" t="n">
        <v>108</v>
      </c>
      <c r="AJ51" s="57" t="inlineStr">
        <is>
          <t>PL</t>
        </is>
      </c>
      <c r="AK51" s="57" t="n">
        <v>-804.41</v>
      </c>
      <c r="AL51" s="57" t="n">
        <v>-39.43</v>
      </c>
      <c r="AM51" s="57" t="n">
        <v>53687.88</v>
      </c>
      <c r="AN51" s="57" t="n">
        <v>57.4</v>
      </c>
      <c r="AO51" s="57" t="n">
        <v>-1109.039</v>
      </c>
      <c r="AP51" s="57" t="n">
        <v>-0.57</v>
      </c>
    </row>
    <row r="52">
      <c r="A52" s="95" t="n"/>
      <c r="B52" s="76" t="inlineStr">
        <is>
          <t>● Verificación por Cortante</t>
        </is>
      </c>
      <c r="C52" s="95" t="n"/>
      <c r="D52" s="95" t="n"/>
      <c r="E52" s="95" t="n"/>
      <c r="F52" s="95" t="n"/>
      <c r="G52" s="95" t="n"/>
      <c r="H52" s="95" t="n"/>
      <c r="I52" s="95" t="n"/>
      <c r="J52" s="95" t="n"/>
      <c r="K52" s="95" t="n"/>
      <c r="L52" s="95" t="n"/>
      <c r="N52" s="59">
        <f>SUM(O52:P52)</f>
        <v/>
      </c>
      <c r="O52" s="60">
        <f>AC53</f>
        <v/>
      </c>
      <c r="P52" s="60">
        <f>AM53</f>
        <v/>
      </c>
      <c r="Q52" s="132" t="n">
        <v>0.65</v>
      </c>
      <c r="R52" s="132" t="n">
        <v>0.65</v>
      </c>
      <c r="X52" s="57" t="inlineStr">
        <is>
          <t>BASE</t>
        </is>
      </c>
      <c r="Y52" s="57" t="n">
        <v>109</v>
      </c>
      <c r="Z52" s="57" t="inlineStr">
        <is>
          <t>PD</t>
        </is>
      </c>
      <c r="AA52" s="57" t="n">
        <v>-2443.39</v>
      </c>
      <c r="AB52" s="57" t="n">
        <v>1551.92</v>
      </c>
      <c r="AC52" s="57" t="n">
        <v>195106.1</v>
      </c>
      <c r="AD52" s="57" t="n">
        <v>-2103.792</v>
      </c>
      <c r="AE52" s="57" t="n">
        <v>-3339.122</v>
      </c>
      <c r="AF52" s="57" t="n">
        <v>-0.97</v>
      </c>
      <c r="AH52" s="57" t="inlineStr">
        <is>
          <t>BASE</t>
        </is>
      </c>
      <c r="AI52" s="57" t="n">
        <v>109</v>
      </c>
      <c r="AJ52" s="57" t="inlineStr">
        <is>
          <t>PL</t>
        </is>
      </c>
      <c r="AK52" s="57" t="n">
        <v>-1207.23</v>
      </c>
      <c r="AL52" s="57" t="n">
        <v>777.46</v>
      </c>
      <c r="AM52" s="57" t="n">
        <v>78909.89</v>
      </c>
      <c r="AN52" s="57" t="n">
        <v>-1052.55</v>
      </c>
      <c r="AO52" s="57" t="n">
        <v>-1653.601</v>
      </c>
      <c r="AP52" s="57" t="n">
        <v>-0.57</v>
      </c>
    </row>
    <row r="53">
      <c r="A53" s="95" t="n"/>
      <c r="B53" s="117" t="inlineStr">
        <is>
          <t>φ  =</t>
        </is>
      </c>
      <c r="C53" s="76">
        <f>HLOOKUP(D2,Parametros!B2:C5,4,FALSE)</f>
        <v/>
      </c>
      <c r="D53" s="95" t="n"/>
      <c r="E53" s="95" t="n"/>
      <c r="F53" s="95" t="n"/>
      <c r="G53" s="95" t="n"/>
      <c r="H53" s="95" t="n"/>
      <c r="I53" s="95" t="n"/>
      <c r="J53" s="95" t="n"/>
      <c r="K53" s="95" t="n"/>
      <c r="L53" s="95" t="n"/>
      <c r="N53" s="59">
        <f>SUM(O53:P53)</f>
        <v/>
      </c>
      <c r="O53" s="60">
        <f>AC54</f>
        <v/>
      </c>
      <c r="P53" s="60">
        <f>AM54</f>
        <v/>
      </c>
      <c r="Q53" s="132" t="n">
        <v>0.65</v>
      </c>
      <c r="R53" s="132" t="n">
        <v>0.65</v>
      </c>
      <c r="X53" s="57" t="inlineStr">
        <is>
          <t>BASE</t>
        </is>
      </c>
      <c r="Y53" s="57" t="n">
        <v>110</v>
      </c>
      <c r="Z53" s="57" t="inlineStr">
        <is>
          <t>PD</t>
        </is>
      </c>
      <c r="AA53" s="57" t="n">
        <v>1415.02</v>
      </c>
      <c r="AB53" s="57" t="n">
        <v>831.85</v>
      </c>
      <c r="AC53" s="57" t="n">
        <v>161581.77</v>
      </c>
      <c r="AD53" s="57" t="n">
        <v>-1122.182</v>
      </c>
      <c r="AE53" s="57" t="n">
        <v>1893.973</v>
      </c>
      <c r="AF53" s="57" t="n">
        <v>-0.97</v>
      </c>
      <c r="AH53" s="57" t="inlineStr">
        <is>
          <t>BASE</t>
        </is>
      </c>
      <c r="AI53" s="57" t="n">
        <v>110</v>
      </c>
      <c r="AJ53" s="57" t="inlineStr">
        <is>
          <t>PL</t>
        </is>
      </c>
      <c r="AK53" s="57" t="n">
        <v>667.34</v>
      </c>
      <c r="AL53" s="57" t="n">
        <v>465.96</v>
      </c>
      <c r="AM53" s="57" t="n">
        <v>63093.02</v>
      </c>
      <c r="AN53" s="57" t="n">
        <v>-627.395</v>
      </c>
      <c r="AO53" s="57" t="n">
        <v>887.877</v>
      </c>
      <c r="AP53" s="57" t="n">
        <v>-0.57</v>
      </c>
    </row>
    <row r="54">
      <c r="A54" s="95" t="n"/>
      <c r="B54" s="117" t="inlineStr">
        <is>
          <t>Vdu  =</t>
        </is>
      </c>
      <c r="C54" s="76">
        <f>C37*D28*100*(C30*100-C49)</f>
        <v/>
      </c>
      <c r="D54" s="95" t="n"/>
      <c r="E54" s="95" t="n"/>
      <c r="F54" s="95" t="n"/>
      <c r="G54" s="95" t="n"/>
      <c r="H54" s="95" t="n"/>
      <c r="I54" s="95" t="n"/>
      <c r="J54" s="95" t="n"/>
      <c r="K54" s="95" t="n"/>
      <c r="L54" s="95" t="n"/>
      <c r="N54" s="59">
        <f>SUM(O54:P54)</f>
        <v/>
      </c>
      <c r="O54" s="60">
        <f>AC55</f>
        <v/>
      </c>
      <c r="P54" s="60">
        <f>AM55</f>
        <v/>
      </c>
      <c r="Q54" s="132" t="n">
        <v>0.65</v>
      </c>
      <c r="R54" s="132" t="n">
        <v>0.65</v>
      </c>
      <c r="X54" s="57" t="inlineStr">
        <is>
          <t>BASE</t>
        </is>
      </c>
      <c r="Y54" s="57" t="n">
        <v>111</v>
      </c>
      <c r="Z54" s="57" t="inlineStr">
        <is>
          <t>PD</t>
        </is>
      </c>
      <c r="AA54" s="57" t="n">
        <v>-477.91</v>
      </c>
      <c r="AB54" s="57" t="n">
        <v>-495.68</v>
      </c>
      <c r="AC54" s="57" t="n">
        <v>85112.06</v>
      </c>
      <c r="AD54" s="57" t="n">
        <v>681.579</v>
      </c>
      <c r="AE54" s="57" t="n">
        <v>-673.256</v>
      </c>
      <c r="AF54" s="57" t="n">
        <v>-0.97</v>
      </c>
      <c r="AH54" s="57" t="inlineStr">
        <is>
          <t>BASE</t>
        </is>
      </c>
      <c r="AI54" s="57" t="n">
        <v>111</v>
      </c>
      <c r="AJ54" s="57" t="inlineStr">
        <is>
          <t>PL</t>
        </is>
      </c>
      <c r="AK54" s="57" t="n">
        <v>-124.74</v>
      </c>
      <c r="AL54" s="57" t="n">
        <v>-187.88</v>
      </c>
      <c r="AM54" s="57" t="n">
        <v>22957.87</v>
      </c>
      <c r="AN54" s="57" t="n">
        <v>261.002</v>
      </c>
      <c r="AO54" s="57" t="n">
        <v>-185.543</v>
      </c>
      <c r="AP54" s="57" t="n">
        <v>-0.57</v>
      </c>
    </row>
    <row r="55">
      <c r="A55" s="95" t="n"/>
      <c r="B55" s="117" t="inlineStr">
        <is>
          <t>φVc  =</t>
        </is>
      </c>
      <c r="C55" s="76">
        <f>0.53*E42*SQRT(B13)*D28*100*C49</f>
        <v/>
      </c>
      <c r="D55" s="95" t="n"/>
      <c r="E55" s="99">
        <f>CONCATENATE(IF(C54&lt;=C55,"Vdu &lt; φVc  ………..(Conforme)","Vdu &gt; φVc  …………(Verificar)"))</f>
        <v/>
      </c>
      <c r="F55" s="95" t="n"/>
      <c r="G55" s="95" t="n"/>
      <c r="H55" s="95" t="n"/>
      <c r="I55" s="95" t="n"/>
      <c r="J55" s="95" t="n"/>
      <c r="L55" s="95" t="n"/>
      <c r="N55" s="59">
        <f>SUM(O55:P55)</f>
        <v/>
      </c>
      <c r="O55" s="60">
        <f>AC56</f>
        <v/>
      </c>
      <c r="P55" s="60">
        <f>AM56</f>
        <v/>
      </c>
      <c r="Q55" s="132" t="n">
        <v>0.65</v>
      </c>
      <c r="R55" s="132" t="n">
        <v>0.65</v>
      </c>
      <c r="X55" s="57" t="inlineStr">
        <is>
          <t>BASE</t>
        </is>
      </c>
      <c r="Y55" s="57" t="n">
        <v>112</v>
      </c>
      <c r="Z55" s="57" t="inlineStr">
        <is>
          <t>PD</t>
        </is>
      </c>
      <c r="AA55" s="57" t="n">
        <v>1272.92</v>
      </c>
      <c r="AB55" s="57" t="n">
        <v>926.51</v>
      </c>
      <c r="AC55" s="57" t="n">
        <v>183528.77</v>
      </c>
      <c r="AD55" s="57" t="n">
        <v>-1250.795</v>
      </c>
      <c r="AE55" s="57" t="n">
        <v>1710.358</v>
      </c>
      <c r="AF55" s="57" t="n">
        <v>-0.97</v>
      </c>
      <c r="AH55" s="57" t="inlineStr">
        <is>
          <t>BASE</t>
        </is>
      </c>
      <c r="AI55" s="57" t="n">
        <v>112</v>
      </c>
      <c r="AJ55" s="57" t="inlineStr">
        <is>
          <t>PL</t>
        </is>
      </c>
      <c r="AK55" s="57" t="n">
        <v>595.33</v>
      </c>
      <c r="AL55" s="57" t="n">
        <v>379.17</v>
      </c>
      <c r="AM55" s="57" t="n">
        <v>72505.60000000001</v>
      </c>
      <c r="AN55" s="57" t="n">
        <v>-509.481</v>
      </c>
      <c r="AO55" s="57" t="n">
        <v>795.5940000000001</v>
      </c>
      <c r="AP55" s="57" t="n">
        <v>-0.57</v>
      </c>
    </row>
    <row r="56">
      <c r="A56" s="95" t="n"/>
      <c r="B56" s="95" t="n"/>
      <c r="C56" s="95" t="n"/>
      <c r="D56" s="95" t="n"/>
      <c r="E56" s="95" t="n"/>
      <c r="F56" s="95" t="n"/>
      <c r="G56" s="95" t="n"/>
      <c r="H56" s="95" t="n"/>
      <c r="I56" s="95" t="n"/>
      <c r="J56" s="95" t="n"/>
      <c r="K56" s="95" t="n"/>
      <c r="L56" s="95" t="n"/>
      <c r="N56" s="59">
        <f>SUM(O56:P56)</f>
        <v/>
      </c>
      <c r="O56" s="60">
        <f>AC57</f>
        <v/>
      </c>
      <c r="P56" s="60">
        <f>AM57</f>
        <v/>
      </c>
      <c r="Q56" s="132" t="n">
        <v>0.65</v>
      </c>
      <c r="R56" s="132" t="n">
        <v>0.65</v>
      </c>
      <c r="X56" s="57" t="inlineStr">
        <is>
          <t>BASE</t>
        </is>
      </c>
      <c r="Y56" s="57" t="n">
        <v>113</v>
      </c>
      <c r="Z56" s="57" t="inlineStr">
        <is>
          <t>PD</t>
        </is>
      </c>
      <c r="AA56" s="57" t="n">
        <v>-3565.73</v>
      </c>
      <c r="AB56" s="57" t="n">
        <v>533.38</v>
      </c>
      <c r="AC56" s="57" t="n">
        <v>149783.24</v>
      </c>
      <c r="AD56" s="57" t="n">
        <v>-712.578</v>
      </c>
      <c r="AE56" s="57" t="n">
        <v>-4873.559</v>
      </c>
      <c r="AF56" s="57" t="n">
        <v>-0.97</v>
      </c>
      <c r="AH56" s="57" t="inlineStr">
        <is>
          <t>BASE</t>
        </is>
      </c>
      <c r="AI56" s="57" t="n">
        <v>113</v>
      </c>
      <c r="AJ56" s="57" t="inlineStr">
        <is>
          <t>PL</t>
        </is>
      </c>
      <c r="AK56" s="57" t="n">
        <v>-1628.94</v>
      </c>
      <c r="AL56" s="57" t="n">
        <v>329.29</v>
      </c>
      <c r="AM56" s="57" t="n">
        <v>61810.93</v>
      </c>
      <c r="AN56" s="57" t="n">
        <v>-439.316</v>
      </c>
      <c r="AO56" s="57" t="n">
        <v>-2232.166</v>
      </c>
      <c r="AP56" s="57" t="n">
        <v>-0.57</v>
      </c>
    </row>
    <row r="57">
      <c r="A57" s="95" t="n"/>
      <c r="B57" s="95" t="n"/>
      <c r="C57" s="95" t="n"/>
      <c r="D57" s="95" t="n"/>
      <c r="E57" s="95" t="n"/>
      <c r="F57" s="95" t="n"/>
      <c r="G57" s="95" t="n"/>
      <c r="H57" s="95" t="n"/>
      <c r="I57" s="95" t="n"/>
      <c r="J57" s="95" t="n"/>
      <c r="K57" s="95" t="n"/>
      <c r="L57" s="95" t="n"/>
      <c r="N57" s="59">
        <f>SUM(O57:P57)</f>
        <v/>
      </c>
      <c r="O57" s="60">
        <f>AC58</f>
        <v/>
      </c>
      <c r="P57" s="60">
        <f>AM58</f>
        <v/>
      </c>
      <c r="Q57" s="132" t="n">
        <v>0.65</v>
      </c>
      <c r="R57" s="132" t="n">
        <v>0.65</v>
      </c>
      <c r="X57" s="57" t="inlineStr">
        <is>
          <t>BASE</t>
        </is>
      </c>
      <c r="Y57" s="57" t="n">
        <v>114</v>
      </c>
      <c r="Z57" s="57" t="inlineStr">
        <is>
          <t>PD</t>
        </is>
      </c>
      <c r="AA57" s="57" t="n">
        <v>402.84</v>
      </c>
      <c r="AB57" s="57" t="n">
        <v>35.83</v>
      </c>
      <c r="AC57" s="57" t="n">
        <v>139944.49</v>
      </c>
      <c r="AD57" s="57" t="n">
        <v>-36.546</v>
      </c>
      <c r="AE57" s="57" t="n">
        <v>523.452</v>
      </c>
      <c r="AF57" s="57" t="n">
        <v>-0.97</v>
      </c>
      <c r="AH57" s="57" t="inlineStr">
        <is>
          <t>BASE</t>
        </is>
      </c>
      <c r="AI57" s="57" t="n">
        <v>114</v>
      </c>
      <c r="AJ57" s="57" t="inlineStr">
        <is>
          <t>PL</t>
        </is>
      </c>
      <c r="AK57" s="57" t="n">
        <v>208.49</v>
      </c>
      <c r="AL57" s="57" t="n">
        <v>19.06</v>
      </c>
      <c r="AM57" s="57" t="n">
        <v>54507.93</v>
      </c>
      <c r="AN57" s="57" t="n">
        <v>-17.79</v>
      </c>
      <c r="AO57" s="57" t="n">
        <v>267.226</v>
      </c>
      <c r="AP57" s="57" t="n">
        <v>-0.57</v>
      </c>
    </row>
    <row r="58">
      <c r="A58" s="95" t="n"/>
      <c r="B58" s="95" t="n"/>
      <c r="C58" s="95" t="n"/>
      <c r="D58" s="95" t="n"/>
      <c r="E58" s="95" t="n"/>
      <c r="F58" s="95" t="n"/>
      <c r="G58" s="95" t="n"/>
      <c r="H58" s="95" t="n"/>
      <c r="I58" s="95" t="n"/>
      <c r="J58" s="95" t="n"/>
      <c r="K58" s="95" t="n"/>
      <c r="L58" s="95" t="n"/>
      <c r="N58" s="59">
        <f>SUM(O58:P58)</f>
        <v/>
      </c>
      <c r="O58" s="60">
        <f>AC59</f>
        <v/>
      </c>
      <c r="P58" s="60">
        <f>AM59</f>
        <v/>
      </c>
      <c r="Q58" s="132" t="n">
        <v>0.65</v>
      </c>
      <c r="R58" s="132" t="n">
        <v>0.65</v>
      </c>
      <c r="X58" s="57" t="inlineStr">
        <is>
          <t>BASE</t>
        </is>
      </c>
      <c r="Y58" s="57" t="n">
        <v>115</v>
      </c>
      <c r="Z58" s="57" t="inlineStr">
        <is>
          <t>PD</t>
        </is>
      </c>
      <c r="AA58" s="57" t="n">
        <v>-1525.68</v>
      </c>
      <c r="AB58" s="57" t="n">
        <v>1894.33</v>
      </c>
      <c r="AC58" s="57" t="n">
        <v>178168.55</v>
      </c>
      <c r="AD58" s="57" t="n">
        <v>-2561.754</v>
      </c>
      <c r="AE58" s="57" t="n">
        <v>-2092.198</v>
      </c>
      <c r="AF58" s="57" t="n">
        <v>-0.97</v>
      </c>
      <c r="AH58" s="57" t="inlineStr">
        <is>
          <t>BASE</t>
        </is>
      </c>
      <c r="AI58" s="57" t="n">
        <v>115</v>
      </c>
      <c r="AJ58" s="57" t="inlineStr">
        <is>
          <t>PL</t>
        </is>
      </c>
      <c r="AK58" s="57" t="n">
        <v>-703.27</v>
      </c>
      <c r="AL58" s="57" t="n">
        <v>942.38</v>
      </c>
      <c r="AM58" s="57" t="n">
        <v>75346.58</v>
      </c>
      <c r="AN58" s="57" t="n">
        <v>-1272.347</v>
      </c>
      <c r="AO58" s="57" t="n">
        <v>-968.856</v>
      </c>
      <c r="AP58" s="57" t="n">
        <v>-0.57</v>
      </c>
    </row>
    <row r="59">
      <c r="A59" s="95" t="n"/>
      <c r="B59" s="95" t="n"/>
      <c r="C59" s="95" t="n"/>
      <c r="D59" s="95" t="n"/>
      <c r="E59" s="95" t="n"/>
      <c r="F59" s="95" t="n"/>
      <c r="G59" s="95" t="n"/>
      <c r="H59" s="95" t="n"/>
      <c r="I59" s="95" t="n"/>
      <c r="J59" s="95" t="n"/>
      <c r="K59" s="95" t="n"/>
      <c r="L59" s="95" t="n"/>
      <c r="N59" s="59">
        <f>SUM(O59:P59)</f>
        <v/>
      </c>
      <c r="O59" s="60">
        <f>AC60</f>
        <v/>
      </c>
      <c r="P59" s="60">
        <f>AM60</f>
        <v/>
      </c>
      <c r="Q59" s="132" t="n">
        <v>0.65</v>
      </c>
      <c r="R59" s="132" t="n">
        <v>0.65</v>
      </c>
      <c r="X59" s="57" t="inlineStr">
        <is>
          <t>BASE</t>
        </is>
      </c>
      <c r="Y59" s="57" t="n">
        <v>116</v>
      </c>
      <c r="Z59" s="57" t="inlineStr">
        <is>
          <t>PD</t>
        </is>
      </c>
      <c r="AA59" s="57" t="n">
        <v>415.78</v>
      </c>
      <c r="AB59" s="57" t="n">
        <v>481.96</v>
      </c>
      <c r="AC59" s="57" t="n">
        <v>128424.53</v>
      </c>
      <c r="AD59" s="57" t="n">
        <v>-643.263</v>
      </c>
      <c r="AE59" s="57" t="n">
        <v>539.472</v>
      </c>
      <c r="AF59" s="57" t="n">
        <v>-0.97</v>
      </c>
      <c r="AH59" s="57" t="inlineStr">
        <is>
          <t>BASE</t>
        </is>
      </c>
      <c r="AI59" s="57" t="n">
        <v>116</v>
      </c>
      <c r="AJ59" s="57" t="inlineStr">
        <is>
          <t>PL</t>
        </is>
      </c>
      <c r="AK59" s="57" t="n">
        <v>205.76</v>
      </c>
      <c r="AL59" s="57" t="n">
        <v>245.94</v>
      </c>
      <c r="AM59" s="57" t="n">
        <v>61769.58</v>
      </c>
      <c r="AN59" s="57" t="n">
        <v>-326.107</v>
      </c>
      <c r="AO59" s="57" t="n">
        <v>262.316</v>
      </c>
      <c r="AP59" s="57" t="n">
        <v>-0.57</v>
      </c>
    </row>
    <row r="60">
      <c r="A60" s="95" t="inlineStr">
        <is>
          <t>5°</t>
        </is>
      </c>
      <c r="B60" s="71" t="inlineStr">
        <is>
          <t>Diseño por Flexión</t>
        </is>
      </c>
      <c r="C60" s="95" t="n"/>
      <c r="D60" s="117" t="inlineStr">
        <is>
          <t>φ  =</t>
        </is>
      </c>
      <c r="E60" s="76">
        <f>HLOOKUP(D2,Parametros!B2:C5,2,FALSE)</f>
        <v/>
      </c>
      <c r="F60" s="95" t="n"/>
      <c r="G60" s="95" t="n"/>
      <c r="H60" s="95" t="n"/>
      <c r="I60" s="95" t="n"/>
      <c r="J60" s="95" t="n"/>
      <c r="K60" s="95" t="n"/>
      <c r="L60" s="95" t="n"/>
      <c r="N60" s="59">
        <f>SUM(O60:P60)</f>
        <v/>
      </c>
      <c r="O60" s="60">
        <f>AC61</f>
        <v/>
      </c>
      <c r="P60" s="60">
        <f>AM61</f>
        <v/>
      </c>
      <c r="Q60" s="132" t="n">
        <v>0.65</v>
      </c>
      <c r="R60" s="132" t="n">
        <v>0.65</v>
      </c>
      <c r="X60" s="57" t="inlineStr">
        <is>
          <t>BASE</t>
        </is>
      </c>
      <c r="Y60" s="57" t="n">
        <v>117</v>
      </c>
      <c r="Z60" s="57" t="inlineStr">
        <is>
          <t>PD</t>
        </is>
      </c>
      <c r="AA60" s="57" t="n">
        <v>737.25</v>
      </c>
      <c r="AB60" s="57" t="n">
        <v>39.62</v>
      </c>
      <c r="AC60" s="57" t="n">
        <v>144698.18</v>
      </c>
      <c r="AD60" s="57" t="n">
        <v>-38.937</v>
      </c>
      <c r="AE60" s="57" t="n">
        <v>983.414</v>
      </c>
      <c r="AF60" s="57" t="n">
        <v>-0.97</v>
      </c>
      <c r="AH60" s="57" t="inlineStr">
        <is>
          <t>BASE</t>
        </is>
      </c>
      <c r="AI60" s="57" t="n">
        <v>117</v>
      </c>
      <c r="AJ60" s="57" t="inlineStr">
        <is>
          <t>PL</t>
        </is>
      </c>
      <c r="AK60" s="57" t="n">
        <v>366.61</v>
      </c>
      <c r="AL60" s="57" t="n">
        <v>20.87</v>
      </c>
      <c r="AM60" s="57" t="n">
        <v>71137.81</v>
      </c>
      <c r="AN60" s="57" t="n">
        <v>-18.611</v>
      </c>
      <c r="AO60" s="57" t="n">
        <v>484.863</v>
      </c>
      <c r="AP60" s="57" t="n">
        <v>-0.57</v>
      </c>
    </row>
    <row r="61">
      <c r="A61" s="95" t="n"/>
      <c r="B61" s="95" t="n"/>
      <c r="C61" s="95" t="n"/>
      <c r="D61" s="95" t="n"/>
      <c r="E61" s="95" t="n"/>
      <c r="F61" s="95" t="n"/>
      <c r="G61" s="95" t="n"/>
      <c r="H61" s="95" t="n"/>
      <c r="I61" s="95" t="n"/>
      <c r="J61" s="95" t="n"/>
      <c r="K61" s="95" t="n"/>
      <c r="L61" s="95" t="n"/>
      <c r="N61" s="59">
        <f>SUM(O61:P61)</f>
        <v/>
      </c>
      <c r="O61" s="60">
        <f>AC62</f>
        <v/>
      </c>
      <c r="P61" s="60">
        <f>AM62</f>
        <v/>
      </c>
      <c r="Q61" s="132" t="n">
        <v>0.65</v>
      </c>
      <c r="R61" s="132" t="n">
        <v>0.65</v>
      </c>
      <c r="X61" s="57" t="inlineStr">
        <is>
          <t>BASE</t>
        </is>
      </c>
      <c r="Y61" s="57" t="n">
        <v>118</v>
      </c>
      <c r="Z61" s="57" t="inlineStr">
        <is>
          <t>PD</t>
        </is>
      </c>
      <c r="AA61" s="57" t="n">
        <v>1994.7</v>
      </c>
      <c r="AB61" s="57" t="n">
        <v>2564.56</v>
      </c>
      <c r="AC61" s="57" t="n">
        <v>153994.46</v>
      </c>
      <c r="AD61" s="57" t="n">
        <v>-3469.313</v>
      </c>
      <c r="AE61" s="57" t="n">
        <v>2691.067</v>
      </c>
      <c r="AF61" s="57" t="n">
        <v>-0.97</v>
      </c>
      <c r="AH61" s="57" t="inlineStr">
        <is>
          <t>BASE</t>
        </is>
      </c>
      <c r="AI61" s="57" t="n">
        <v>118</v>
      </c>
      <c r="AJ61" s="57" t="inlineStr">
        <is>
          <t>PL</t>
        </is>
      </c>
      <c r="AK61" s="57" t="n">
        <v>974.9299999999999</v>
      </c>
      <c r="AL61" s="57" t="n">
        <v>1295.08</v>
      </c>
      <c r="AM61" s="57" t="n">
        <v>74400.17999999999</v>
      </c>
      <c r="AN61" s="57" t="n">
        <v>-1749.735</v>
      </c>
      <c r="AO61" s="57" t="n">
        <v>1311.372</v>
      </c>
      <c r="AP61" s="57" t="n">
        <v>-0.57</v>
      </c>
    </row>
    <row r="62">
      <c r="A62" s="95" t="n"/>
      <c r="B62" s="76" t="inlineStr">
        <is>
          <t>● Dirección Longitudinal</t>
        </is>
      </c>
      <c r="C62" s="95" t="n"/>
      <c r="D62" s="95" t="n"/>
      <c r="E62" s="77">
        <f>CONCATENATE("Usar ",E69," φ ",D48," @ ",C70," cm")</f>
        <v/>
      </c>
      <c r="F62" s="95" t="n"/>
      <c r="G62" s="95" t="n"/>
      <c r="H62" s="95" t="n"/>
      <c r="I62" s="95" t="n"/>
      <c r="J62" s="95" t="n"/>
      <c r="K62" s="95" t="n"/>
      <c r="L62" s="95" t="n"/>
      <c r="N62" s="59">
        <f>SUM(O62:P62)</f>
        <v/>
      </c>
      <c r="O62" s="60">
        <f>AC63</f>
        <v/>
      </c>
      <c r="P62" s="60">
        <f>AM63</f>
        <v/>
      </c>
      <c r="Q62" s="132" t="n">
        <v>0.65</v>
      </c>
      <c r="R62" s="132" t="n">
        <v>0.65</v>
      </c>
      <c r="X62" s="57" t="inlineStr">
        <is>
          <t>BASE</t>
        </is>
      </c>
      <c r="Y62" s="57" t="n">
        <v>119</v>
      </c>
      <c r="Z62" s="57" t="inlineStr">
        <is>
          <t>PD</t>
        </is>
      </c>
      <c r="AA62" s="57" t="n">
        <v>-131.59</v>
      </c>
      <c r="AB62" s="57" t="n">
        <v>505.7</v>
      </c>
      <c r="AC62" s="57" t="n">
        <v>138293.09</v>
      </c>
      <c r="AD62" s="57" t="n">
        <v>-672.179</v>
      </c>
      <c r="AE62" s="57" t="n">
        <v>-208.35</v>
      </c>
      <c r="AF62" s="57" t="n">
        <v>-0.97</v>
      </c>
      <c r="AH62" s="57" t="inlineStr">
        <is>
          <t>BASE</t>
        </is>
      </c>
      <c r="AI62" s="57" t="n">
        <v>119</v>
      </c>
      <c r="AJ62" s="57" t="inlineStr">
        <is>
          <t>PL</t>
        </is>
      </c>
      <c r="AK62" s="57" t="n">
        <v>-63.81</v>
      </c>
      <c r="AL62" s="57" t="n">
        <v>258.2</v>
      </c>
      <c r="AM62" s="57" t="n">
        <v>67312.89</v>
      </c>
      <c r="AN62" s="57" t="n">
        <v>-340.789</v>
      </c>
      <c r="AO62" s="57" t="n">
        <v>-105.977</v>
      </c>
      <c r="AP62" s="57" t="n">
        <v>-0.57</v>
      </c>
    </row>
    <row r="63">
      <c r="A63" s="95" t="n"/>
      <c r="B63" s="122" t="inlineStr">
        <is>
          <t>Mu  =</t>
        </is>
      </c>
      <c r="C63" s="132">
        <f>C37*D28*100*(C30*100)^2/200</f>
        <v/>
      </c>
      <c r="D63" s="95" t="inlineStr">
        <is>
          <t>Kg - m</t>
        </is>
      </c>
      <c r="E63" s="95" t="n"/>
      <c r="F63" s="95" t="n"/>
      <c r="G63" s="95" t="n"/>
      <c r="H63" s="95" t="n"/>
      <c r="I63" s="95" t="n"/>
      <c r="J63" s="95" t="n"/>
      <c r="K63" s="95" t="n"/>
      <c r="L63" s="95" t="n"/>
      <c r="N63" s="59">
        <f>SUM(O63:P63)</f>
        <v/>
      </c>
      <c r="O63" s="60">
        <f>AC64</f>
        <v/>
      </c>
      <c r="P63" s="60">
        <f>AM64</f>
        <v/>
      </c>
      <c r="Q63" s="132" t="n">
        <v>0.65</v>
      </c>
      <c r="R63" s="132" t="n">
        <v>0.65</v>
      </c>
      <c r="X63" s="57" t="inlineStr">
        <is>
          <t>BASE</t>
        </is>
      </c>
      <c r="Y63" s="57" t="n">
        <v>120</v>
      </c>
      <c r="Z63" s="57" t="inlineStr">
        <is>
          <t>PD</t>
        </is>
      </c>
      <c r="AA63" s="57" t="n">
        <v>-2205.12</v>
      </c>
      <c r="AB63" s="57" t="n">
        <v>-1733.37</v>
      </c>
      <c r="AC63" s="57" t="n">
        <v>142218.89</v>
      </c>
      <c r="AD63" s="57" t="n">
        <v>2373.965</v>
      </c>
      <c r="AE63" s="57" t="n">
        <v>-3015.379</v>
      </c>
      <c r="AF63" s="57" t="n">
        <v>-0.97</v>
      </c>
      <c r="AH63" s="57" t="inlineStr">
        <is>
          <t>BASE</t>
        </is>
      </c>
      <c r="AI63" s="57" t="n">
        <v>120</v>
      </c>
      <c r="AJ63" s="57" t="inlineStr">
        <is>
          <t>PL</t>
        </is>
      </c>
      <c r="AK63" s="57" t="n">
        <v>-1102.07</v>
      </c>
      <c r="AL63" s="57" t="n">
        <v>-876.2</v>
      </c>
      <c r="AM63" s="57" t="n">
        <v>68908.72</v>
      </c>
      <c r="AN63" s="57" t="n">
        <v>1202.534</v>
      </c>
      <c r="AO63" s="57" t="n">
        <v>-1510.721</v>
      </c>
      <c r="AP63" s="57" t="n">
        <v>-0.57</v>
      </c>
    </row>
    <row r="64">
      <c r="A64" s="95" t="n"/>
      <c r="B64" s="122" t="inlineStr">
        <is>
          <t>Ru  =</t>
        </is>
      </c>
      <c r="C64" s="116">
        <f>C63/(D28*C49^2)</f>
        <v/>
      </c>
      <c r="D64" s="95" t="inlineStr">
        <is>
          <t>Kg/cm²</t>
        </is>
      </c>
      <c r="E64" s="95" t="n"/>
      <c r="F64" s="95" t="n"/>
      <c r="G64" s="95" t="n"/>
      <c r="H64" s="95" t="n"/>
      <c r="I64" s="95" t="n"/>
      <c r="J64" s="95" t="n"/>
      <c r="K64" s="95" t="n"/>
      <c r="L64" s="95" t="n"/>
      <c r="N64" s="59">
        <f>SUM(O64:P64)</f>
        <v/>
      </c>
      <c r="O64" s="60">
        <f>AC65</f>
        <v/>
      </c>
      <c r="P64" s="60">
        <f>AM65</f>
        <v/>
      </c>
      <c r="Q64" s="132" t="n">
        <v>0.65</v>
      </c>
      <c r="R64" s="132" t="n">
        <v>0.65</v>
      </c>
      <c r="X64" s="57" t="inlineStr">
        <is>
          <t>BASE</t>
        </is>
      </c>
      <c r="Y64" s="57" t="n">
        <v>121</v>
      </c>
      <c r="Z64" s="57" t="inlineStr">
        <is>
          <t>PD</t>
        </is>
      </c>
      <c r="AA64" s="57" t="n">
        <v>-1919.06</v>
      </c>
      <c r="AB64" s="57" t="n">
        <v>946.64</v>
      </c>
      <c r="AC64" s="57" t="n">
        <v>116418.1</v>
      </c>
      <c r="AD64" s="57" t="n">
        <v>-1264.026</v>
      </c>
      <c r="AE64" s="57" t="n">
        <v>-2636.173</v>
      </c>
      <c r="AF64" s="57" t="n">
        <v>-0.97</v>
      </c>
      <c r="AH64" s="57" t="inlineStr">
        <is>
          <t>BASE</t>
        </is>
      </c>
      <c r="AI64" s="57" t="n">
        <v>121</v>
      </c>
      <c r="AJ64" s="57" t="inlineStr">
        <is>
          <t>PL</t>
        </is>
      </c>
      <c r="AK64" s="57" t="n">
        <v>-978.4</v>
      </c>
      <c r="AL64" s="57" t="n">
        <v>473.13</v>
      </c>
      <c r="AM64" s="57" t="n">
        <v>54865.68</v>
      </c>
      <c r="AN64" s="57" t="n">
        <v>-628.8390000000001</v>
      </c>
      <c r="AO64" s="57" t="n">
        <v>-1348.259</v>
      </c>
      <c r="AP64" s="57" t="n">
        <v>-0.57</v>
      </c>
    </row>
    <row r="65">
      <c r="A65" s="95" t="n"/>
      <c r="B65" s="122" t="inlineStr">
        <is>
          <t>ρ  =</t>
        </is>
      </c>
      <c r="C65" s="132">
        <f>(100*0.9*B13*B15-SQRT((100*0.9*B13*B15)^2-23600*0.9*C64*B13*B15^2))/(118*0.9*B15^2)</f>
        <v/>
      </c>
      <c r="D65" s="95" t="n"/>
      <c r="E65" s="95" t="n"/>
      <c r="F65" s="95" t="n"/>
      <c r="G65" s="95" t="n"/>
      <c r="H65" s="95" t="n"/>
      <c r="I65" s="95" t="n"/>
      <c r="J65" s="95" t="n"/>
      <c r="K65" s="95" t="n"/>
      <c r="L65" s="95" t="n"/>
      <c r="N65" s="59">
        <f>SUM(O65:P65)</f>
        <v/>
      </c>
      <c r="O65" s="60">
        <f>AC66</f>
        <v/>
      </c>
      <c r="P65" s="60">
        <f>AM66</f>
        <v/>
      </c>
      <c r="Q65" s="132" t="n">
        <v>0.65</v>
      </c>
      <c r="R65" s="132" t="n">
        <v>0.65</v>
      </c>
      <c r="X65" s="57" t="inlineStr">
        <is>
          <t>BASE</t>
        </is>
      </c>
      <c r="Y65" s="57" t="n">
        <v>122</v>
      </c>
      <c r="Z65" s="57" t="inlineStr">
        <is>
          <t>PD</t>
        </is>
      </c>
      <c r="AA65" s="57" t="n">
        <v>17.23</v>
      </c>
      <c r="AB65" s="57" t="n">
        <v>-2440.88</v>
      </c>
      <c r="AC65" s="57" t="n">
        <v>122797.18</v>
      </c>
      <c r="AD65" s="57" t="n">
        <v>3338.728</v>
      </c>
      <c r="AE65" s="57" t="n">
        <v>4.209</v>
      </c>
      <c r="AF65" s="57" t="n">
        <v>-0.97</v>
      </c>
      <c r="AH65" s="57" t="inlineStr">
        <is>
          <t>BASE</t>
        </is>
      </c>
      <c r="AI65" s="57" t="n">
        <v>122</v>
      </c>
      <c r="AJ65" s="57" t="inlineStr">
        <is>
          <t>PL</t>
        </is>
      </c>
      <c r="AK65" s="57" t="n">
        <v>-6.77</v>
      </c>
      <c r="AL65" s="57" t="n">
        <v>-1231.9</v>
      </c>
      <c r="AM65" s="57" t="n">
        <v>58546.76</v>
      </c>
      <c r="AN65" s="57" t="n">
        <v>1687.855</v>
      </c>
      <c r="AO65" s="57" t="n">
        <v>-22.49</v>
      </c>
      <c r="AP65" s="57" t="n">
        <v>-0.57</v>
      </c>
    </row>
    <row r="66">
      <c r="A66" s="95" t="n"/>
      <c r="B66" s="122" t="inlineStr">
        <is>
          <t>ρmin  =</t>
        </is>
      </c>
      <c r="C66" s="132" t="n">
        <v>0.0018</v>
      </c>
      <c r="D66" s="95" t="n"/>
      <c r="E66" s="95" t="n"/>
      <c r="F66" s="95" t="n"/>
      <c r="G66" s="95" t="n"/>
      <c r="H66" s="95" t="n"/>
      <c r="I66" s="95" t="n"/>
      <c r="J66" s="95" t="n"/>
      <c r="K66" s="95" t="n"/>
      <c r="L66" s="95" t="n"/>
      <c r="N66" s="59">
        <f>SUM(O66:P66)</f>
        <v/>
      </c>
      <c r="O66" s="60">
        <f>AC67</f>
        <v/>
      </c>
      <c r="P66" s="60">
        <f>AM67</f>
        <v/>
      </c>
      <c r="Q66" s="132" t="n">
        <v>0.65</v>
      </c>
      <c r="R66" s="132" t="n">
        <v>0.65</v>
      </c>
      <c r="X66" s="57" t="inlineStr">
        <is>
          <t>BASE</t>
        </is>
      </c>
      <c r="Y66" s="57" t="n">
        <v>123</v>
      </c>
      <c r="Z66" s="57" t="inlineStr">
        <is>
          <t>PD</t>
        </is>
      </c>
      <c r="AA66" s="57" t="n">
        <v>-158.72</v>
      </c>
      <c r="AB66" s="57" t="n">
        <v>115.36</v>
      </c>
      <c r="AC66" s="57" t="n">
        <v>73872.3</v>
      </c>
      <c r="AD66" s="57" t="n">
        <v>-305.363</v>
      </c>
      <c r="AE66" s="57" t="n">
        <v>-465.604</v>
      </c>
      <c r="AF66" s="57" t="n">
        <v>-1.115</v>
      </c>
      <c r="AH66" s="57" t="inlineStr">
        <is>
          <t>BASE</t>
        </is>
      </c>
      <c r="AI66" s="57" t="n">
        <v>123</v>
      </c>
      <c r="AJ66" s="57" t="inlineStr">
        <is>
          <t>PL</t>
        </is>
      </c>
      <c r="AK66" s="57" t="n">
        <v>-83.87</v>
      </c>
      <c r="AL66" s="57" t="n">
        <v>61.05</v>
      </c>
      <c r="AM66" s="57" t="n">
        <v>32570.92</v>
      </c>
      <c r="AN66" s="57" t="n">
        <v>-157.843</v>
      </c>
      <c r="AO66" s="57" t="n">
        <v>-250.296</v>
      </c>
      <c r="AP66" s="57" t="n">
        <v>-0.776</v>
      </c>
    </row>
    <row r="67">
      <c r="A67" s="95" t="n"/>
      <c r="B67" s="122" t="inlineStr">
        <is>
          <t>As  =</t>
        </is>
      </c>
      <c r="C67" s="155">
        <f>PRODUCT(MAX(C65:C66),D28*100,J48)</f>
        <v/>
      </c>
      <c r="D67" s="95" t="inlineStr">
        <is>
          <t>cm²</t>
        </is>
      </c>
      <c r="E67" s="95" t="n"/>
      <c r="F67" s="95" t="n"/>
      <c r="G67" s="95" t="n"/>
      <c r="H67" s="95" t="n"/>
      <c r="I67" s="95" t="n"/>
      <c r="J67" s="95" t="n"/>
      <c r="K67" s="95" t="n"/>
      <c r="L67" s="95" t="n"/>
      <c r="Q67" s="132" t="n">
        <v>0.65</v>
      </c>
      <c r="R67" s="132" t="n">
        <v>0.65</v>
      </c>
      <c r="X67" s="57" t="inlineStr">
        <is>
          <t>BASE</t>
        </is>
      </c>
      <c r="Y67" s="57" t="n">
        <v>124</v>
      </c>
      <c r="Z67" s="57" t="inlineStr">
        <is>
          <t>PD</t>
        </is>
      </c>
      <c r="AA67" s="57" t="n">
        <v>-750.37</v>
      </c>
      <c r="AB67" s="57" t="n">
        <v>-119.42</v>
      </c>
      <c r="AC67" s="57" t="n">
        <v>104914.29</v>
      </c>
      <c r="AD67" s="57" t="n">
        <v>347.749</v>
      </c>
      <c r="AE67" s="57" t="n">
        <v>-2108.817</v>
      </c>
      <c r="AF67" s="57" t="n">
        <v>-1.115</v>
      </c>
      <c r="AH67" s="57" t="inlineStr">
        <is>
          <t>BASE</t>
        </is>
      </c>
      <c r="AI67" s="57" t="n">
        <v>124</v>
      </c>
      <c r="AJ67" s="57" t="inlineStr">
        <is>
          <t>PL</t>
        </is>
      </c>
      <c r="AK67" s="57" t="n">
        <v>-364.77</v>
      </c>
      <c r="AL67" s="57" t="n">
        <v>-98.52</v>
      </c>
      <c r="AM67" s="57" t="n">
        <v>42182.34</v>
      </c>
      <c r="AN67" s="57" t="n">
        <v>286.007</v>
      </c>
      <c r="AO67" s="57" t="n">
        <v>-1030.118</v>
      </c>
      <c r="AP67" s="57" t="n">
        <v>-0.776</v>
      </c>
    </row>
    <row r="68">
      <c r="A68" s="95" t="n"/>
      <c r="B68" s="122" t="inlineStr">
        <is>
          <t>Av  =</t>
        </is>
      </c>
      <c r="C68" s="132">
        <f>VLOOKUP(D48,Parametros!E2:G6,3,FALSE)</f>
        <v/>
      </c>
      <c r="D68" s="95" t="inlineStr">
        <is>
          <t>cm²</t>
        </is>
      </c>
      <c r="E68" s="95" t="n"/>
      <c r="F68" s="95" t="n"/>
      <c r="G68" s="95" t="n"/>
      <c r="H68" s="95" t="n"/>
      <c r="I68" s="95" t="n"/>
      <c r="J68" s="95" t="n"/>
      <c r="K68" s="95" t="n"/>
      <c r="L68" s="95" t="n"/>
      <c r="Q68" s="132" t="n">
        <v>0.65</v>
      </c>
      <c r="R68" s="132" t="n">
        <v>0.65</v>
      </c>
      <c r="X68" s="57" t="inlineStr">
        <is>
          <t>BASE</t>
        </is>
      </c>
      <c r="Y68" s="57" t="n">
        <v>125</v>
      </c>
      <c r="Z68" s="57" t="inlineStr">
        <is>
          <t>PD</t>
        </is>
      </c>
      <c r="AA68" s="57" t="n">
        <v>-2398.84</v>
      </c>
      <c r="AB68" s="57" t="n">
        <v>1143.86</v>
      </c>
      <c r="AC68" s="57" t="n">
        <v>113545.29</v>
      </c>
      <c r="AD68" s="57" t="n">
        <v>-1531.998</v>
      </c>
      <c r="AE68" s="57" t="n">
        <v>-3290.31</v>
      </c>
      <c r="AF68" s="57" t="n">
        <v>-0.97</v>
      </c>
      <c r="AH68" s="57" t="inlineStr">
        <is>
          <t>BASE</t>
        </is>
      </c>
      <c r="AI68" s="57" t="n">
        <v>125</v>
      </c>
      <c r="AJ68" s="57" t="inlineStr">
        <is>
          <t>PL</t>
        </is>
      </c>
      <c r="AK68" s="57" t="n">
        <v>-947.65</v>
      </c>
      <c r="AL68" s="57" t="n">
        <v>632.37</v>
      </c>
      <c r="AM68" s="57" t="n">
        <v>44255.49</v>
      </c>
      <c r="AN68" s="57" t="n">
        <v>-845.085</v>
      </c>
      <c r="AO68" s="57" t="n">
        <v>-1306.436</v>
      </c>
      <c r="AP68" s="57" t="n">
        <v>-0.57</v>
      </c>
    </row>
    <row r="69">
      <c r="A69" s="95" t="n"/>
      <c r="B69" s="122" t="inlineStr">
        <is>
          <t># var  =</t>
        </is>
      </c>
      <c r="C69" s="155">
        <f>C67/C68</f>
        <v/>
      </c>
      <c r="D69" s="95" t="n"/>
      <c r="E69" s="101" t="n">
        <v>75</v>
      </c>
      <c r="F69" s="71" t="inlineStr">
        <is>
          <t>varillas</t>
        </is>
      </c>
      <c r="G69" s="95" t="n"/>
      <c r="H69" s="95" t="n"/>
      <c r="I69" s="95" t="n"/>
      <c r="J69" s="95" t="n"/>
      <c r="K69" s="95" t="n"/>
      <c r="L69" s="95" t="n"/>
      <c r="Q69" s="132" t="n">
        <v>0.65</v>
      </c>
      <c r="R69" s="132" t="n">
        <v>0.65</v>
      </c>
      <c r="X69" s="57" t="inlineStr">
        <is>
          <t>BASE</t>
        </is>
      </c>
      <c r="Y69" s="57" t="n">
        <v>126</v>
      </c>
      <c r="Z69" s="57" t="inlineStr">
        <is>
          <t>PD</t>
        </is>
      </c>
      <c r="AA69" s="57" t="n">
        <v>-425.51</v>
      </c>
      <c r="AB69" s="57" t="n">
        <v>161.55</v>
      </c>
      <c r="AC69" s="57" t="n">
        <v>128588.38</v>
      </c>
      <c r="AD69" s="57" t="n">
        <v>-195.198</v>
      </c>
      <c r="AE69" s="57" t="n">
        <v>-602.802</v>
      </c>
      <c r="AF69" s="57" t="n">
        <v>-0.97</v>
      </c>
      <c r="AH69" s="57" t="inlineStr">
        <is>
          <t>BASE</t>
        </is>
      </c>
      <c r="AI69" s="57" t="n">
        <v>126</v>
      </c>
      <c r="AJ69" s="57" t="inlineStr">
        <is>
          <t>PL</t>
        </is>
      </c>
      <c r="AK69" s="57" t="n">
        <v>-201.52</v>
      </c>
      <c r="AL69" s="57" t="n">
        <v>81.48</v>
      </c>
      <c r="AM69" s="57" t="n">
        <v>61996.06</v>
      </c>
      <c r="AN69" s="57" t="n">
        <v>-95.36</v>
      </c>
      <c r="AO69" s="57" t="n">
        <v>-289.943</v>
      </c>
      <c r="AP69" s="57" t="n">
        <v>-0.57</v>
      </c>
    </row>
    <row r="70">
      <c r="A70" s="95" t="n"/>
      <c r="B70" s="122" t="inlineStr">
        <is>
          <t>Esp.  S  =</t>
        </is>
      </c>
      <c r="C70" s="132">
        <f>ROUND((D28*100-2*C47-VLOOKUP(D48,Parametros!E2:G6,2,FALSE))/(E69-1),1)</f>
        <v/>
      </c>
      <c r="D70" s="95" t="inlineStr">
        <is>
          <t>cm</t>
        </is>
      </c>
      <c r="E70" s="95" t="n"/>
      <c r="F70" s="95" t="n"/>
      <c r="G70" s="95" t="n"/>
      <c r="H70" s="95" t="n"/>
      <c r="I70" s="95" t="n"/>
      <c r="J70" s="95" t="n"/>
      <c r="K70" s="95" t="n"/>
      <c r="L70" s="95" t="n"/>
      <c r="X70" s="57" t="inlineStr">
        <is>
          <t>BASE</t>
        </is>
      </c>
      <c r="Y70" s="57" t="n">
        <v>127</v>
      </c>
      <c r="Z70" s="57" t="inlineStr">
        <is>
          <t>PD</t>
        </is>
      </c>
      <c r="AA70" s="57" t="n">
        <v>-1409.16</v>
      </c>
      <c r="AB70" s="57" t="n">
        <v>-2057.24</v>
      </c>
      <c r="AC70" s="57" t="n">
        <v>114916.35</v>
      </c>
      <c r="AD70" s="57" t="n">
        <v>2820.85</v>
      </c>
      <c r="AE70" s="57" t="n">
        <v>-1933.877</v>
      </c>
      <c r="AF70" s="57" t="n">
        <v>-0.97</v>
      </c>
      <c r="AH70" s="57" t="inlineStr">
        <is>
          <t>BASE</t>
        </is>
      </c>
      <c r="AI70" s="57" t="n">
        <v>127</v>
      </c>
      <c r="AJ70" s="57" t="inlineStr">
        <is>
          <t>PL</t>
        </is>
      </c>
      <c r="AK70" s="57" t="n">
        <v>-658.27</v>
      </c>
      <c r="AL70" s="57" t="n">
        <v>-1034.79</v>
      </c>
      <c r="AM70" s="57" t="n">
        <v>53983.52</v>
      </c>
      <c r="AN70" s="57" t="n">
        <v>1422.022</v>
      </c>
      <c r="AO70" s="57" t="n">
        <v>-907.71</v>
      </c>
      <c r="AP70" s="57" t="n">
        <v>-0.57</v>
      </c>
    </row>
    <row r="71">
      <c r="A71" s="95" t="n"/>
      <c r="B71" s="95" t="n"/>
      <c r="C71" s="95" t="n"/>
      <c r="D71" s="95" t="n"/>
      <c r="E71" s="95" t="n"/>
      <c r="F71" s="95" t="n"/>
      <c r="G71" s="95" t="n"/>
      <c r="H71" s="95" t="n"/>
      <c r="I71" s="95" t="n"/>
      <c r="J71" s="95" t="n"/>
      <c r="K71" s="95" t="n"/>
      <c r="L71" s="95" t="n"/>
      <c r="X71" s="57" t="inlineStr">
        <is>
          <t>BASE</t>
        </is>
      </c>
      <c r="Y71" s="57" t="n">
        <v>191</v>
      </c>
      <c r="Z71" s="57" t="inlineStr">
        <is>
          <t>PD</t>
        </is>
      </c>
      <c r="AA71" s="57" t="n">
        <v>107.6</v>
      </c>
      <c r="AB71" s="57" t="n">
        <v>-211.05</v>
      </c>
      <c r="AC71" s="57" t="n">
        <v>25526.58</v>
      </c>
      <c r="AD71" s="57" t="n">
        <v>148.241</v>
      </c>
      <c r="AE71" s="57" t="n">
        <v>75.58</v>
      </c>
      <c r="AF71" s="57" t="n">
        <v>-0.256</v>
      </c>
      <c r="AH71" s="57" t="inlineStr">
        <is>
          <t>BASE</t>
        </is>
      </c>
      <c r="AI71" s="57" t="n">
        <v>191</v>
      </c>
      <c r="AJ71" s="57" t="inlineStr">
        <is>
          <t>PL</t>
        </is>
      </c>
      <c r="AK71" s="57" t="n">
        <v>52.96</v>
      </c>
      <c r="AL71" s="57" t="n">
        <v>-116.43</v>
      </c>
      <c r="AM71" s="57" t="n">
        <v>6424.37</v>
      </c>
      <c r="AN71" s="57" t="n">
        <v>81.78</v>
      </c>
      <c r="AO71" s="57" t="n">
        <v>37.197</v>
      </c>
      <c r="AP71" s="57" t="n">
        <v>-0.178</v>
      </c>
    </row>
    <row r="72">
      <c r="A72" s="95" t="n"/>
      <c r="B72" s="76" t="inlineStr">
        <is>
          <t>● Dirección Transversal</t>
        </is>
      </c>
      <c r="C72" s="95" t="n"/>
      <c r="D72" s="95" t="n"/>
      <c r="E72" s="77">
        <f>CONCATENATE("Usar ",E75," φ ",D48," @ ",C76," cm")</f>
        <v/>
      </c>
      <c r="F72" s="95" t="n"/>
      <c r="G72" s="95" t="n"/>
      <c r="H72" s="95" t="n"/>
      <c r="I72" s="95" t="n"/>
      <c r="J72" s="95" t="n"/>
      <c r="K72" s="95" t="n"/>
      <c r="L72" s="95" t="n"/>
    </row>
    <row r="73">
      <c r="A73" s="95" t="n"/>
      <c r="B73" s="95" t="n"/>
      <c r="C73" s="95" t="n"/>
      <c r="D73" s="95" t="n"/>
      <c r="E73" s="95" t="n"/>
      <c r="F73" s="95" t="n"/>
      <c r="G73" s="95" t="n"/>
      <c r="H73" s="95" t="n"/>
      <c r="I73" s="95" t="n"/>
      <c r="J73" s="95" t="n"/>
      <c r="K73" s="95" t="n"/>
      <c r="L73" s="95" t="n"/>
    </row>
    <row r="74">
      <c r="A74" s="95" t="n"/>
      <c r="B74" s="122" t="inlineStr">
        <is>
          <t>Ast  =</t>
        </is>
      </c>
      <c r="C74" s="132">
        <f>ROUND(C67*D27/D28,2)</f>
        <v/>
      </c>
      <c r="D74" s="95" t="inlineStr">
        <is>
          <t>cm2</t>
        </is>
      </c>
      <c r="E74" s="95" t="n"/>
      <c r="F74" s="95" t="n"/>
      <c r="G74" s="95" t="n"/>
      <c r="H74" s="95" t="n"/>
      <c r="I74" s="95" t="n"/>
      <c r="J74" s="95" t="n"/>
      <c r="K74" s="95" t="n"/>
      <c r="L74" s="95" t="n"/>
      <c r="N74" s="57">
        <f>-(26.5*E42*SQRT(B13)*B8*100)/(106*E42*SQRT(B13)+25*C37)-(26.5*E42*SQRT(B13)*B9*100)/(106*E42*SQRT(B13)+25*C37)-12.5*C37*B8*100/(106*E42*SQRT(B13)+25*C37)-12.5*C37*B9*100/(106*E42*SQRT(B13)+25*C37)+0.5*(625*C37*C37*B8*100*B8*100+625*C37*C37*B9*100*B9*100-1250*C37*C37*B8*100*B9*100+10600*E42*C35*SQRT(B13)+2650*E42*C37*SQRT(B13)*B8*100*B8*100+2650*E42*SQRT(B13)*B9*100*B9*100-5300*E42*SQRT(B13)*B8*100*B9*100+2500*C35*C37+B13*SQRT(2809*E42*E42*B8*100*B8*100+2809*E42*E42*B9*100*B9*100+5618*E42*E42*B8*100*B9*100))/(106*E42*SQRT(B13)+25*C37)</f>
        <v/>
      </c>
    </row>
    <row r="75">
      <c r="A75" s="95" t="n"/>
      <c r="B75" s="122" t="inlineStr">
        <is>
          <t># var  =</t>
        </is>
      </c>
      <c r="C75" s="155">
        <f>C74/C68</f>
        <v/>
      </c>
      <c r="D75" s="95" t="n"/>
      <c r="E75" s="101" t="n">
        <v>13</v>
      </c>
      <c r="F75" s="71" t="inlineStr">
        <is>
          <t>varillas</t>
        </is>
      </c>
      <c r="G75" s="95" t="n"/>
      <c r="H75" s="95" t="n"/>
      <c r="I75" s="95" t="n"/>
      <c r="J75" s="95" t="n"/>
      <c r="K75" s="95" t="n"/>
      <c r="L75" s="95" t="n"/>
    </row>
    <row r="76">
      <c r="A76" s="95" t="n"/>
      <c r="B76" s="122" t="inlineStr">
        <is>
          <t>Esp.  S  =</t>
        </is>
      </c>
      <c r="C76" s="132">
        <f>ROUND((D27*100-2*C47-VLOOKUP(D48,Parametros!E2:G6,2,FALSE))/(E75-1),1)</f>
        <v/>
      </c>
      <c r="D76" s="95" t="inlineStr">
        <is>
          <t>cm</t>
        </is>
      </c>
      <c r="E76" s="95" t="n"/>
      <c r="F76" s="95" t="n"/>
      <c r="G76" s="95" t="n"/>
      <c r="H76" s="95" t="n"/>
      <c r="I76" s="95" t="n"/>
      <c r="J76" s="95" t="n"/>
      <c r="K76" s="95" t="n"/>
      <c r="L76" s="95" t="n"/>
    </row>
    <row r="77">
      <c r="A77" s="95" t="n"/>
      <c r="B77" s="95" t="n"/>
      <c r="C77" s="95" t="n"/>
      <c r="D77" s="95" t="n"/>
      <c r="E77" s="95" t="n"/>
      <c r="F77" s="95" t="n"/>
      <c r="G77" s="95" t="n"/>
      <c r="H77" s="95" t="n"/>
      <c r="I77" s="95" t="n"/>
      <c r="J77" s="95" t="n"/>
      <c r="K77" s="95" t="n"/>
      <c r="L77" s="95" t="n"/>
      <c r="M77" s="57">
        <f>ROUND(-(53*E42*SQRT(B13)*B8*100+53*E42*SQRT(B13)*B9*100+25*C37*B8*100+25*C37*B9*100-SQRT(625*(C37*B8*100)^2+625*(C37*B9*100)^2-1250*B8*B9*10000*C37^2+10600*E42*C35*SQRT(B13)+2650*E42*C37*SQRT(B13)*(B8*100)^2+2650*E42*C37*SQRT(B13)*(B9*100)^2-5300*E42*C37*SQRT(B13)*B8*B9*10000+2500*C35*C37+B13*(2809*(E42*B8*100)^2+2809*(E42*B9*100)^2+5618*B8*B9*10000*E42^2)))/(2*106*E42*SQRT(B13)+25*C37),2)</f>
        <v/>
      </c>
    </row>
    <row r="78">
      <c r="A78" s="95" t="inlineStr">
        <is>
          <t>6°</t>
        </is>
      </c>
      <c r="B78" s="76" t="inlineStr">
        <is>
          <t>Transferencia de Carga de la Columna a la Zapata</t>
        </is>
      </c>
      <c r="C78" s="95" t="n"/>
      <c r="D78" s="95" t="n"/>
      <c r="E78" s="95" t="n"/>
      <c r="F78" s="95" t="n"/>
      <c r="G78" s="95" t="n"/>
      <c r="H78" s="95" t="n"/>
      <c r="I78" s="95" t="n"/>
      <c r="J78" s="95" t="n"/>
      <c r="K78" s="95" t="n"/>
      <c r="L78" s="95" t="n"/>
    </row>
    <row r="79">
      <c r="A79" s="95" t="n"/>
      <c r="B79" s="95" t="n"/>
      <c r="C79" s="95" t="n"/>
      <c r="D79" s="95" t="n"/>
      <c r="E79" s="95" t="n"/>
      <c r="F79" s="95" t="n"/>
      <c r="G79" s="95" t="n"/>
      <c r="H79" s="95" t="n"/>
      <c r="I79" s="95" t="n"/>
      <c r="J79" s="95" t="n"/>
      <c r="K79" s="95" t="n"/>
      <c r="L79" s="95" t="n"/>
      <c r="P79" s="57">
        <f>D27*D28*10000-(B8*100+C49)*(B9*100+C49)</f>
        <v/>
      </c>
    </row>
    <row r="80">
      <c r="A80" s="95" t="n"/>
      <c r="B80" s="76" t="inlineStr">
        <is>
          <t>● Resistencia al Aplastamiento de la Columna</t>
        </is>
      </c>
      <c r="C80" s="95" t="n"/>
      <c r="D80" s="95" t="n"/>
      <c r="E80" s="95" t="n"/>
      <c r="F80" s="95" t="n"/>
      <c r="G80" s="117" t="inlineStr">
        <is>
          <t>φn  =</t>
        </is>
      </c>
      <c r="H80" s="76">
        <f>HLOOKUP(D2,Parametros!B2:C5,3,FALSE)</f>
        <v/>
      </c>
      <c r="I80" s="95" t="n"/>
      <c r="J80" s="95" t="n"/>
      <c r="K80" s="95" t="n"/>
      <c r="L80" s="95" t="n"/>
    </row>
    <row r="81">
      <c r="A81" s="95" t="n"/>
      <c r="B81" s="95" t="n"/>
      <c r="C81" s="95" t="n"/>
      <c r="D81" s="95" t="n"/>
      <c r="E81" s="95" t="n"/>
      <c r="F81" s="95" t="n"/>
      <c r="G81" s="122" t="n"/>
      <c r="H81" s="70" t="n"/>
      <c r="I81" s="95" t="n"/>
      <c r="J81" s="95" t="n"/>
      <c r="K81" s="95" t="n"/>
      <c r="L81" s="95" t="n"/>
      <c r="M81" s="57" t="inlineStr">
        <is>
          <t>Esfuerzos por Punzonamiento</t>
        </is>
      </c>
    </row>
    <row r="82">
      <c r="A82" s="95" t="n"/>
      <c r="B82" s="95" t="n"/>
      <c r="C82" s="95" t="n"/>
      <c r="D82" s="122" t="inlineStr">
        <is>
          <t>Sobre la Columna</t>
        </is>
      </c>
      <c r="F82" s="122" t="inlineStr">
        <is>
          <t>Pn  =</t>
        </is>
      </c>
      <c r="H82" s="132">
        <f>C35/H80</f>
        <v/>
      </c>
      <c r="I82" s="95" t="inlineStr">
        <is>
          <t>Kg</t>
        </is>
      </c>
      <c r="J82" s="95" t="n"/>
      <c r="K82" s="95" t="n"/>
      <c r="L82" s="95" t="n"/>
      <c r="M82" s="122" t="inlineStr">
        <is>
          <t>φVc  =</t>
        </is>
      </c>
      <c r="N82" s="57">
        <f>1.06*0.75*SQRT(B13)*(2*(2*C49+B8*100+B9*100))*C49</f>
        <v/>
      </c>
      <c r="O82" s="57" t="inlineStr">
        <is>
          <t>Kg</t>
        </is>
      </c>
      <c r="P82" s="57">
        <f>N82/3.6238/0.50595</f>
        <v/>
      </c>
    </row>
    <row r="83">
      <c r="A83" s="95" t="n"/>
      <c r="B83" s="95" t="n"/>
      <c r="C83" s="95" t="n"/>
      <c r="D83" s="122" t="inlineStr">
        <is>
          <t>De la Columna</t>
        </is>
      </c>
      <c r="F83" s="122" t="inlineStr">
        <is>
          <t>Pnb  =</t>
        </is>
      </c>
      <c r="H83" s="95">
        <f>0.85*B14*B8*B9*10000</f>
        <v/>
      </c>
      <c r="I83" s="95" t="inlineStr">
        <is>
          <t>Kg</t>
        </is>
      </c>
      <c r="J83" s="95" t="n"/>
      <c r="K83" s="95" t="n"/>
      <c r="L83" s="95" t="n"/>
      <c r="M83" s="75" t="inlineStr">
        <is>
          <t>Vu  =</t>
        </is>
      </c>
      <c r="N83" s="57">
        <f>C35-C37*(B8*100+C49)*(B9*100+C49)-P85</f>
        <v/>
      </c>
      <c r="O83" s="57" t="inlineStr">
        <is>
          <t>Kg</t>
        </is>
      </c>
      <c r="P83" s="57">
        <f>N83/3.6238/0.50595</f>
        <v/>
      </c>
    </row>
    <row r="84">
      <c r="A84" s="95" t="n"/>
      <c r="B84" s="95" t="n"/>
      <c r="C84" s="95" t="n"/>
      <c r="D84" s="95" t="n"/>
      <c r="E84" s="95" t="n"/>
      <c r="F84" s="95" t="n"/>
      <c r="G84" s="95" t="n"/>
      <c r="H84" s="95" t="n"/>
      <c r="I84" s="95" t="n"/>
      <c r="J84" s="95" t="n"/>
      <c r="K84" s="95" t="n"/>
      <c r="L84" s="95" t="n"/>
    </row>
    <row r="85">
      <c r="A85" s="95" t="n"/>
      <c r="B85" s="95" t="n"/>
      <c r="C85" s="95" t="n"/>
      <c r="D85" s="124">
        <f>IF(H82&lt;=H83,"Pn &lt; Pnb ……….(No Necesita Dowels)","Pn &gt; Pnb ……….(Necesita Dowels)")</f>
        <v/>
      </c>
      <c r="I85" s="95" t="n"/>
      <c r="J85" s="95" t="n"/>
      <c r="K85" s="95" t="n"/>
      <c r="L85" s="95" t="n"/>
      <c r="P85" s="57">
        <f>C35-C37*(D27*D28*10000-(B8*100+C49)*(B9*100+C49))</f>
        <v/>
      </c>
    </row>
    <row r="86">
      <c r="A86" s="95" t="n"/>
      <c r="B86" s="95" t="n"/>
      <c r="C86" s="95" t="n"/>
      <c r="E86" s="78">
        <f>IF(H82&lt;=H83,"Asmin  =","As  =")</f>
        <v/>
      </c>
      <c r="F86" s="156">
        <f>IF(H82&lt;=H83,0.005*B8*B9*10000,(H82-H83)/B15)</f>
        <v/>
      </c>
      <c r="G86" s="77" t="inlineStr">
        <is>
          <t>cm2</t>
        </is>
      </c>
      <c r="H86" s="95" t="n"/>
      <c r="I86" s="95" t="n"/>
      <c r="J86" s="95" t="n"/>
      <c r="K86" s="95" t="n"/>
      <c r="L86" s="95" t="n"/>
      <c r="N86" s="57">
        <f>66.5/2.5</f>
        <v/>
      </c>
    </row>
    <row r="87" ht="6" customFormat="1" customHeight="1" s="95"/>
    <row r="88">
      <c r="A88" s="95" t="n"/>
      <c r="B88" s="76" t="inlineStr">
        <is>
          <t>● Resistencia al Aplastamiento en el Concreto de la Zapata</t>
        </is>
      </c>
      <c r="C88" s="95" t="n"/>
      <c r="D88" s="95" t="n"/>
      <c r="E88" s="95" t="n"/>
      <c r="F88" s="95" t="n"/>
      <c r="G88" s="95" t="n"/>
      <c r="H88" s="95" t="n"/>
      <c r="I88" s="95" t="n"/>
      <c r="J88" s="95" t="n"/>
      <c r="K88" s="95" t="n"/>
      <c r="L88" s="95" t="n"/>
    </row>
    <row r="89">
      <c r="A89" s="95" t="n"/>
      <c r="B89" s="95" t="n"/>
      <c r="C89" s="95" t="n"/>
      <c r="D89" s="95" t="n"/>
      <c r="E89" s="95" t="n"/>
      <c r="F89" s="132" t="inlineStr">
        <is>
          <t>A1  =</t>
        </is>
      </c>
      <c r="H89" s="132">
        <f>B8*B9</f>
        <v/>
      </c>
      <c r="I89" s="95" t="inlineStr">
        <is>
          <t>m²</t>
        </is>
      </c>
      <c r="J89" s="95" t="n"/>
      <c r="K89" s="95" t="n"/>
      <c r="L89" s="95" t="n"/>
    </row>
    <row r="90">
      <c r="A90" s="95" t="n"/>
      <c r="B90" s="95" t="n"/>
      <c r="C90" s="95" t="n"/>
      <c r="D90" s="95" t="n"/>
      <c r="E90" s="95" t="n"/>
      <c r="F90" s="132" t="inlineStr">
        <is>
          <t>A2  =</t>
        </is>
      </c>
      <c r="H90" s="132">
        <f>ROUND(D27*D27*B9/B8,2)</f>
        <v/>
      </c>
      <c r="I90" s="95" t="inlineStr">
        <is>
          <t>m²</t>
        </is>
      </c>
      <c r="J90" s="95" t="n"/>
      <c r="K90" s="95" t="n"/>
      <c r="L90" s="95" t="n"/>
    </row>
    <row r="91">
      <c r="A91" s="95" t="n"/>
      <c r="B91" s="95" t="n"/>
      <c r="C91" s="95" t="n"/>
      <c r="D91" s="95" t="n"/>
      <c r="E91" s="95" t="n"/>
      <c r="F91" s="79" t="inlineStr">
        <is>
          <t>A2</t>
        </is>
      </c>
      <c r="G91" s="133" t="inlineStr">
        <is>
          <t>=</t>
        </is>
      </c>
      <c r="H91" s="134">
        <f>ROUND(SQRT(H90/H89),2)</f>
        <v/>
      </c>
      <c r="I91" s="95" t="n"/>
      <c r="J91" s="134">
        <f>IF(H91&lt;=2,H8,2)</f>
        <v/>
      </c>
      <c r="K91" s="95" t="n"/>
      <c r="L91" s="95" t="n"/>
    </row>
    <row r="92">
      <c r="A92" s="95" t="n"/>
      <c r="B92" s="95" t="n"/>
      <c r="C92" s="95" t="n"/>
      <c r="D92" s="95" t="n"/>
      <c r="E92" s="95" t="n"/>
      <c r="F92" s="95" t="inlineStr">
        <is>
          <t>A1</t>
        </is>
      </c>
      <c r="I92" s="95" t="n"/>
      <c r="K92" s="95" t="n"/>
      <c r="L92" s="95" t="n"/>
    </row>
    <row r="93">
      <c r="A93" s="95" t="n"/>
      <c r="B93" s="95" t="n"/>
      <c r="C93" s="95" t="n"/>
      <c r="D93" s="95" t="n"/>
      <c r="E93" s="95" t="n"/>
      <c r="F93" s="132" t="inlineStr">
        <is>
          <t>Ao  =</t>
        </is>
      </c>
      <c r="H93" s="132">
        <f>J91*H89</f>
        <v/>
      </c>
      <c r="I93" s="95" t="inlineStr">
        <is>
          <t>m²</t>
        </is>
      </c>
      <c r="J93" s="95" t="n"/>
      <c r="K93" s="95" t="n"/>
      <c r="L93" s="95" t="n"/>
    </row>
    <row r="94">
      <c r="A94" s="95" t="n"/>
      <c r="B94" s="95" t="n"/>
      <c r="C94" s="95" t="n"/>
      <c r="D94" s="95" t="n"/>
      <c r="E94" s="95" t="n"/>
      <c r="F94" s="132" t="inlineStr">
        <is>
          <t>Pnb  =</t>
        </is>
      </c>
      <c r="H94" s="95">
        <f>0.85*B13*H93*10000</f>
        <v/>
      </c>
      <c r="I94" s="95" t="inlineStr">
        <is>
          <t>Kg</t>
        </is>
      </c>
      <c r="J94" s="95" t="n"/>
      <c r="K94" s="95" t="n"/>
      <c r="L94" s="95" t="n"/>
    </row>
    <row r="95">
      <c r="A95" s="95" t="n"/>
      <c r="B95" s="95" t="n"/>
      <c r="C95" s="95" t="n"/>
      <c r="D95" s="124">
        <f>IF(H82&gt;=H94,"Pn &gt; Pnb ……….(Necesita Dowels)","Pn &lt; Pnb ……….(No Necesita Dowels)")</f>
        <v/>
      </c>
      <c r="I95" s="95" t="n"/>
      <c r="J95" s="95" t="n"/>
      <c r="K95" s="95" t="n"/>
      <c r="L95" s="95" t="n"/>
    </row>
    <row r="96">
      <c r="A96" s="95" t="n"/>
      <c r="B96" s="95" t="n"/>
      <c r="C96" s="95" t="n"/>
      <c r="D96" s="95" t="n"/>
      <c r="E96" s="78">
        <f>IF(H82&lt;=H94,"Asmin  =","As  =")</f>
        <v/>
      </c>
      <c r="F96" s="157">
        <f>IF(H82&lt;=H94,0.005*B8*B9*10000,(H82-H94)/B15)</f>
        <v/>
      </c>
      <c r="G96" s="77" t="inlineStr">
        <is>
          <t>cm2</t>
        </is>
      </c>
      <c r="H96" s="95" t="n"/>
      <c r="I96" s="95" t="n"/>
      <c r="J96" s="95" t="n"/>
      <c r="K96" s="95" t="n"/>
      <c r="L96" s="95" t="n"/>
    </row>
    <row r="97">
      <c r="A97" s="95" t="n"/>
      <c r="B97" s="95" t="n"/>
      <c r="C97" s="95" t="n"/>
      <c r="D97" s="95" t="n"/>
      <c r="E97" s="95" t="n"/>
      <c r="F97" s="95" t="n"/>
      <c r="G97" s="95" t="n"/>
      <c r="H97" s="95" t="n"/>
      <c r="I97" s="95" t="n"/>
      <c r="J97" s="95" t="n"/>
      <c r="K97" s="95" t="n"/>
      <c r="L97" s="95" t="n"/>
    </row>
    <row r="98">
      <c r="A98" s="95" t="n"/>
      <c r="B98" s="123" t="inlineStr">
        <is>
          <t>Acero de Espera(Dowels) entre columna y Zapata As  =</t>
        </is>
      </c>
      <c r="G98" s="158">
        <f>MAX(0.005*B8*B9*10000,F86,F96)</f>
        <v/>
      </c>
      <c r="H98" s="71" t="inlineStr">
        <is>
          <t>cm²</t>
        </is>
      </c>
      <c r="I98" s="121">
        <f>CONCATENATE("Usar ",F100," φ",F99)</f>
        <v/>
      </c>
      <c r="L98" s="95" t="n"/>
    </row>
    <row r="99" ht="15" customHeight="1">
      <c r="A99" s="95" t="n"/>
      <c r="B99" s="71" t="n"/>
      <c r="C99" s="125" t="inlineStr">
        <is>
          <t>Diametro de la Varilla a Usar φ:</t>
        </is>
      </c>
      <c r="F99" s="125" t="inlineStr">
        <is>
          <t>1/2"</t>
        </is>
      </c>
      <c r="H99" s="117" t="inlineStr">
        <is>
          <t>Av  =</t>
        </is>
      </c>
      <c r="J99" s="83">
        <f>VLOOKUP(F99,Parametros!E2:G7,3,FALSE)</f>
        <v/>
      </c>
      <c r="K99" s="71" t="inlineStr">
        <is>
          <t>cm²</t>
        </is>
      </c>
      <c r="L99" s="95" t="n"/>
    </row>
    <row r="100">
      <c r="A100" s="95" t="n"/>
      <c r="B100" s="71" t="n"/>
      <c r="C100" s="71" t="n"/>
      <c r="D100" s="117" t="inlineStr">
        <is>
          <t>Numero de Varillas :</t>
        </is>
      </c>
      <c r="F100" s="125">
        <f>ROUNDUP(G98/J99,0)</f>
        <v/>
      </c>
      <c r="G100" s="71" t="n"/>
      <c r="H100" s="71" t="n"/>
      <c r="I100" s="71" t="n"/>
      <c r="J100" s="71" t="n"/>
      <c r="K100" s="71" t="n"/>
      <c r="L100" s="95" t="n"/>
    </row>
    <row r="101">
      <c r="A101" s="95" t="n"/>
      <c r="B101" s="95" t="n"/>
      <c r="C101" s="95" t="n"/>
      <c r="D101" s="95" t="n"/>
      <c r="E101" s="95" t="n"/>
      <c r="F101" s="95" t="n"/>
      <c r="G101" s="95" t="n"/>
      <c r="H101" s="95" t="n"/>
      <c r="I101" s="95" t="n"/>
      <c r="J101" s="95" t="n"/>
      <c r="K101" s="95" t="n"/>
      <c r="L101" s="95" t="n"/>
      <c r="M101" s="75" t="inlineStr">
        <is>
          <t>ldc1  =</t>
        </is>
      </c>
      <c r="N101" s="72">
        <f>ROUND(0.075*B15*VLOOKUP(F99,Parametros!E3:G7,2,FALSE)/SQRT(B14),1)</f>
        <v/>
      </c>
      <c r="O101" s="57" t="inlineStr">
        <is>
          <t>cm</t>
        </is>
      </c>
    </row>
    <row r="102">
      <c r="A102" s="95" t="inlineStr">
        <is>
          <t>7°</t>
        </is>
      </c>
      <c r="B102" s="71" t="inlineStr">
        <is>
          <t>Longitud de Desarrollo del Refuerzo en espera(Dowels) a compresión</t>
        </is>
      </c>
      <c r="C102" s="122" t="n"/>
      <c r="D102" s="155" t="n"/>
      <c r="E102" s="95" t="n"/>
      <c r="F102" s="95" t="n"/>
      <c r="G102" s="95" t="n"/>
      <c r="H102" s="95" t="n"/>
      <c r="I102" s="95" t="n"/>
      <c r="J102" s="95" t="n"/>
      <c r="K102" s="95" t="n"/>
      <c r="L102" s="95" t="n"/>
      <c r="M102" s="75" t="inlineStr">
        <is>
          <t>ldc2  =</t>
        </is>
      </c>
      <c r="N102" s="72">
        <f>ROUND(0.0044*B15*VLOOKUP(F99,Parametros!E3:G7,2,FALSE),1)</f>
        <v/>
      </c>
      <c r="O102" s="57" t="inlineStr">
        <is>
          <t>cm</t>
        </is>
      </c>
    </row>
    <row r="103">
      <c r="A103" s="95" t="n"/>
      <c r="B103" s="95" t="n"/>
      <c r="C103" s="122" t="n"/>
      <c r="D103" s="155" t="n"/>
      <c r="E103" s="85" t="n"/>
      <c r="F103" s="95" t="n"/>
      <c r="G103" s="95" t="n"/>
      <c r="H103" s="95" t="n"/>
      <c r="I103" s="95" t="n"/>
      <c r="J103" s="95" t="n"/>
      <c r="K103" s="95" t="n"/>
      <c r="L103" s="95" t="n"/>
    </row>
    <row r="104">
      <c r="A104" s="95" t="n"/>
      <c r="B104" s="95" t="n"/>
      <c r="C104" s="95" t="n"/>
      <c r="D104" s="95" t="n"/>
      <c r="E104" s="95" t="n"/>
      <c r="F104" s="95" t="n"/>
      <c r="G104" s="95" t="n"/>
      <c r="H104" s="95" t="n"/>
      <c r="I104" s="95" t="n"/>
      <c r="J104" s="95" t="n"/>
      <c r="K104" s="95" t="n"/>
      <c r="L104" s="95" t="n"/>
      <c r="M104" s="75" t="inlineStr">
        <is>
          <t>ldc1  =</t>
        </is>
      </c>
      <c r="N104" s="72">
        <f>ROUND(0.075*B15*VLOOKUP(F99,Parametros!E3:G7,2,FALSE)/SQRT(B13),1)</f>
        <v/>
      </c>
      <c r="O104" s="57" t="inlineStr">
        <is>
          <t>cm</t>
        </is>
      </c>
    </row>
    <row r="105">
      <c r="A105" s="95" t="n"/>
      <c r="B105" s="95" t="n"/>
      <c r="C105" s="95" t="n"/>
      <c r="D105" s="95" t="n"/>
      <c r="E105" s="95" t="n"/>
      <c r="F105" s="95" t="n"/>
      <c r="G105" s="95" t="n"/>
      <c r="H105" s="86" t="n"/>
      <c r="I105" s="87" t="n"/>
      <c r="J105" s="69" t="n"/>
      <c r="K105" s="95" t="n"/>
      <c r="L105" s="95" t="n"/>
      <c r="M105" s="75" t="inlineStr">
        <is>
          <t>ldc2  =</t>
        </is>
      </c>
      <c r="N105" s="72">
        <f>ROUND(0.0044*B15*VLOOKUP(F99,Parametros!E3:G7,2,FALSE),1)</f>
        <v/>
      </c>
      <c r="O105" s="57" t="inlineStr">
        <is>
          <t>cm</t>
        </is>
      </c>
    </row>
    <row r="106">
      <c r="A106" s="95" t="n"/>
      <c r="B106" s="95" t="n"/>
      <c r="C106" s="95" t="n"/>
      <c r="D106" s="95" t="n"/>
      <c r="E106" s="95" t="n"/>
      <c r="F106" s="78" t="inlineStr">
        <is>
          <t>ldcmin  =</t>
        </is>
      </c>
      <c r="G106" s="59" t="n">
        <v>20</v>
      </c>
      <c r="H106" s="88" t="inlineStr">
        <is>
          <t>cm</t>
        </is>
      </c>
      <c r="I106" s="95" t="n"/>
      <c r="J106" s="95" t="n"/>
      <c r="K106" s="95" t="n"/>
      <c r="L106" s="95" t="n"/>
    </row>
    <row r="107">
      <c r="A107" s="95" t="n"/>
      <c r="B107" s="76" t="inlineStr">
        <is>
          <t>● En la Columna</t>
        </is>
      </c>
      <c r="C107" s="95" t="n"/>
      <c r="D107" s="95" t="n"/>
      <c r="E107" s="107" t="inlineStr">
        <is>
          <t>ldc  =</t>
        </is>
      </c>
      <c r="F107" s="159">
        <f>MAX(N101:N102)</f>
        <v/>
      </c>
      <c r="G107" s="108" t="inlineStr">
        <is>
          <t>cm</t>
        </is>
      </c>
      <c r="H107" s="95">
        <f>IF(F107&gt;=F108,"Valor Predominante"," ")</f>
        <v/>
      </c>
      <c r="I107" s="95" t="n"/>
      <c r="J107" s="95" t="n"/>
      <c r="K107" s="95" t="n"/>
      <c r="L107" s="95" t="n"/>
      <c r="N107" s="130" t="inlineStr">
        <is>
          <t>Cb =</t>
        </is>
      </c>
      <c r="O107" s="57" t="inlineStr">
        <is>
          <t>Distancia medida del centro de una barra o alambre a la superficie mas cercana del concrero</t>
        </is>
      </c>
    </row>
    <row r="108">
      <c r="A108" s="95" t="n"/>
      <c r="B108" s="76" t="inlineStr">
        <is>
          <t>● En la Zapata</t>
        </is>
      </c>
      <c r="C108" s="95" t="n"/>
      <c r="D108" s="95" t="n"/>
      <c r="E108" s="107" t="inlineStr">
        <is>
          <t>ldc  =</t>
        </is>
      </c>
      <c r="F108" s="159">
        <f>MAX(N104:N105)</f>
        <v/>
      </c>
      <c r="G108" s="108" t="inlineStr">
        <is>
          <t>cm</t>
        </is>
      </c>
      <c r="H108" s="104">
        <f>IF(F108&gt;=F107,"Valor Predominante"," ")</f>
        <v/>
      </c>
      <c r="I108" s="95" t="n"/>
      <c r="J108" s="95" t="n"/>
      <c r="K108" s="95" t="n"/>
      <c r="L108" s="95" t="n"/>
      <c r="O108" s="57" t="inlineStr">
        <is>
          <t>La mitad de la separación centro a centro de las barras o alambres que se desarrollan</t>
        </is>
      </c>
    </row>
    <row r="109">
      <c r="A109" s="95" t="n"/>
      <c r="B109" s="95" t="n"/>
      <c r="C109" s="95" t="n"/>
      <c r="D109" s="95" t="n"/>
      <c r="E109" s="95" t="n"/>
      <c r="F109" s="95" t="n"/>
      <c r="G109" s="95" t="n"/>
      <c r="H109" s="95" t="n"/>
      <c r="I109" s="95" t="n"/>
      <c r="J109" s="95" t="n"/>
      <c r="K109" s="95" t="n"/>
      <c r="L109" s="95" t="n"/>
    </row>
    <row r="110">
      <c r="A110" s="95" t="n"/>
      <c r="B110" s="71" t="inlineStr">
        <is>
          <t>Longitud disponible para el Desarrollo de las Barras o Dowels a compresión =</t>
        </is>
      </c>
      <c r="H110" s="95" t="n"/>
      <c r="I110" s="95" t="n"/>
      <c r="J110" s="95" t="n"/>
      <c r="K110" s="57">
        <f>CONCATENATE(J48," - ",C47," - ",2*VLOOKUP(D48,Parametros!E2:G7,2,FALSE)," - ",VLOOKUP(F99,Parametros!E2:G7,2,FALSE))</f>
        <v/>
      </c>
      <c r="L110" s="95" t="n"/>
      <c r="N110" s="89" t="inlineStr">
        <is>
          <t>Nota:</t>
        </is>
      </c>
      <c r="O110" s="89" t="inlineStr">
        <is>
          <t xml:space="preserve">Colocar la Primera Capa de Refuerzo en la Dirección Corta y la Segunda Capa </t>
        </is>
      </c>
      <c r="P110" s="89" t="n"/>
      <c r="Q110" s="89" t="n"/>
      <c r="R110" s="89" t="n"/>
      <c r="S110" s="89" t="n"/>
      <c r="T110" s="89" t="n"/>
    </row>
    <row r="111">
      <c r="A111" s="95" t="n"/>
      <c r="B111" s="95" t="n"/>
      <c r="C111" s="95" t="n"/>
      <c r="D111" s="95" t="n"/>
      <c r="E111" s="95" t="n"/>
      <c r="F111" s="95" t="n"/>
      <c r="G111" s="95" t="n"/>
      <c r="H111" s="95" t="n"/>
      <c r="I111" s="95" t="n"/>
      <c r="J111" s="78" t="inlineStr">
        <is>
          <t>=</t>
        </is>
      </c>
      <c r="K111" s="129">
        <f>ROUNDUP(J48-C47-2*VLOOKUP(D48,Parametros!E2:G7,2,FALSE)-VLOOKUP(F99,Parametros!E2:G7,2,FALSE),0)</f>
        <v/>
      </c>
      <c r="L111" s="77" t="inlineStr">
        <is>
          <t>cm</t>
        </is>
      </c>
      <c r="N111" s="89" t="n"/>
      <c r="O111" s="89" t="inlineStr">
        <is>
          <t>en la Dirección Larga</t>
        </is>
      </c>
      <c r="P111" s="89" t="n"/>
      <c r="Q111" s="89" t="n"/>
      <c r="R111" s="89" t="n"/>
      <c r="S111" s="89" t="n"/>
      <c r="T111" s="89" t="n"/>
    </row>
    <row r="112">
      <c r="B112" s="120">
        <f>IF(F108&lt;K111,"Las Barras(Dowels) se desarrollan adecuadamente","Aumentar la Altura de la Zapata o cambiar el Diamtro de las Barras(Dowels) para garantizar el desarrollo ldc")</f>
        <v/>
      </c>
    </row>
    <row r="113">
      <c r="A113" s="95" t="n"/>
      <c r="B113" s="95" t="n"/>
      <c r="C113" s="95" t="n"/>
      <c r="D113" s="95" t="n"/>
      <c r="E113" s="95" t="n"/>
      <c r="F113" s="95" t="n"/>
      <c r="G113" s="95" t="n"/>
      <c r="H113" s="95" t="n"/>
      <c r="I113" s="95" t="n"/>
      <c r="J113" s="95" t="n"/>
      <c r="K113" s="95" t="n"/>
      <c r="L113" s="95" t="n"/>
    </row>
    <row r="114">
      <c r="A114" s="95" t="inlineStr">
        <is>
          <t>8°</t>
        </is>
      </c>
      <c r="B114" s="71" t="inlineStr">
        <is>
          <t>Longitud de Desarrollo del Refuerzo de la Zapata</t>
        </is>
      </c>
      <c r="C114" s="95" t="n"/>
      <c r="D114" s="95" t="n"/>
      <c r="E114" s="95" t="n"/>
      <c r="F114" s="95" t="n"/>
      <c r="G114" s="95" t="n"/>
      <c r="H114" s="95" t="n"/>
      <c r="I114" s="95" t="n"/>
      <c r="J114" s="95" t="n"/>
      <c r="K114" s="95" t="n"/>
      <c r="L114" s="95" t="n"/>
    </row>
    <row r="115">
      <c r="A115" s="95" t="n"/>
      <c r="B115" s="95" t="n"/>
      <c r="C115" s="95" t="n"/>
      <c r="D115" s="95" t="n"/>
      <c r="E115" s="95" t="n"/>
      <c r="F115" s="95" t="n"/>
      <c r="G115" s="95" t="n"/>
      <c r="H115" s="95" t="n"/>
      <c r="I115" s="95" t="n"/>
      <c r="J115" s="95" t="n"/>
      <c r="K115" s="95" t="n"/>
      <c r="L115" s="95" t="n"/>
    </row>
    <row r="116">
      <c r="A116" s="95" t="n"/>
      <c r="B116" s="95" t="n"/>
      <c r="C116" s="95" t="n"/>
      <c r="D116" s="95" t="n"/>
      <c r="E116" s="95" t="n"/>
      <c r="F116" s="95" t="n"/>
      <c r="G116" s="95" t="n"/>
      <c r="H116" s="95" t="n"/>
      <c r="I116" s="95" t="n"/>
      <c r="J116" s="95" t="n"/>
      <c r="K116" s="95" t="n"/>
      <c r="L116" s="95" t="n"/>
      <c r="O116" s="57" t="inlineStr">
        <is>
          <t>Direccion Longitudinal</t>
        </is>
      </c>
    </row>
    <row r="117">
      <c r="A117" s="95" t="n"/>
      <c r="B117" s="95" t="n"/>
      <c r="C117" s="95" t="n"/>
      <c r="D117" s="95" t="n"/>
      <c r="E117" s="95" t="n"/>
      <c r="F117" s="95" t="n"/>
      <c r="G117" s="95" t="n"/>
      <c r="H117" s="95" t="n"/>
      <c r="I117" s="95" t="n"/>
      <c r="J117" s="95" t="n"/>
      <c r="K117" s="95" t="n"/>
      <c r="L117" s="95" t="n"/>
      <c r="M117" s="57">
        <f>4*1.27</f>
        <v/>
      </c>
    </row>
    <row r="118">
      <c r="A118" s="95" t="n"/>
      <c r="B118" s="95" t="n"/>
      <c r="C118" s="95" t="n"/>
      <c r="D118" s="95" t="n"/>
      <c r="E118" s="95" t="n"/>
      <c r="F118" s="95" t="n"/>
      <c r="G118" s="95" t="n"/>
      <c r="H118" s="95" t="n"/>
      <c r="I118" s="95" t="n"/>
      <c r="J118" s="95" t="n"/>
      <c r="K118" s="95" t="n"/>
      <c r="L118" s="95" t="n"/>
    </row>
    <row r="119">
      <c r="A119" s="95" t="n"/>
      <c r="B119" s="95" t="n"/>
      <c r="C119" s="95" t="n"/>
      <c r="D119" s="95" t="n"/>
      <c r="E119" s="95" t="n"/>
      <c r="F119" s="95" t="n"/>
      <c r="G119" s="95" t="n"/>
      <c r="H119" s="95" t="n"/>
      <c r="I119" s="95" t="n"/>
      <c r="J119" s="95" t="n"/>
      <c r="K119" s="95" t="n"/>
      <c r="L119" s="95" t="n"/>
    </row>
    <row r="120">
      <c r="A120" s="95" t="n"/>
      <c r="B120" s="95" t="n"/>
      <c r="C120" s="117" t="inlineStr">
        <is>
          <t>Cb  =</t>
        </is>
      </c>
      <c r="D120" s="116">
        <f>MIN(O121:O123)</f>
        <v/>
      </c>
      <c r="E120" s="95" t="inlineStr">
        <is>
          <t>cm</t>
        </is>
      </c>
      <c r="F120" s="95" t="n"/>
      <c r="G120" s="95" t="n"/>
      <c r="H120" s="95" t="n"/>
      <c r="I120" s="95" t="n"/>
      <c r="J120" s="95" t="n"/>
      <c r="K120" s="95" t="n"/>
      <c r="L120" s="95" t="n"/>
    </row>
    <row r="121">
      <c r="A121" s="95" t="n"/>
      <c r="B121" s="95" t="n"/>
      <c r="C121" s="117" t="inlineStr">
        <is>
          <t>Ktr  =</t>
        </is>
      </c>
      <c r="D121" s="116" t="n">
        <v>0</v>
      </c>
      <c r="E121" s="85" t="inlineStr">
        <is>
          <t>No hay Estribos</t>
        </is>
      </c>
      <c r="F121" s="95" t="n"/>
      <c r="G121" s="95" t="n"/>
      <c r="H121" s="160">
        <f>SUM(D120:D121)/D122</f>
        <v/>
      </c>
      <c r="I121" s="95" t="n"/>
      <c r="J121" s="161">
        <f>IF(H121&gt;2.5,2.5,H121)</f>
        <v/>
      </c>
      <c r="K121" s="95" t="n"/>
      <c r="L121" s="95" t="n"/>
      <c r="O121" s="93">
        <f>ROUND((D28*100-2*(C47+VLOOKUP(D48,Parametros!E2:G6,2,FALSE)))/(2*(E69-1)),1)</f>
        <v/>
      </c>
      <c r="P121" s="57" t="inlineStr">
        <is>
          <t>cm</t>
        </is>
      </c>
      <c r="Q121" s="94">
        <f>CONCATENATE(D28*100," - 2*(",C47," + ",VLOOKUP(D48,Parametros!E2:G6,2,FALSE),")")</f>
        <v/>
      </c>
      <c r="R121" s="95" t="n"/>
      <c r="T121" s="57">
        <f>CONCATENATE(C47," + ",VLOOKUP(D48,Parametros!E2:G6,2,FALSE),"/2")</f>
        <v/>
      </c>
    </row>
    <row r="122">
      <c r="A122" s="95" t="n"/>
      <c r="B122" s="95" t="n"/>
      <c r="C122" s="117" t="inlineStr">
        <is>
          <t>db  =</t>
        </is>
      </c>
      <c r="D122" s="132">
        <f>VLOOKUP(D48,Parametros!E2:G6,2,FALSE)</f>
        <v/>
      </c>
      <c r="E122" s="95" t="inlineStr">
        <is>
          <t>cm</t>
        </is>
      </c>
      <c r="F122" s="95" t="n"/>
      <c r="G122" s="95" t="n"/>
      <c r="H122" s="95" t="n"/>
      <c r="I122" s="95" t="n"/>
      <c r="J122" s="95" t="n"/>
      <c r="K122" s="94" t="n"/>
      <c r="L122" s="95" t="n"/>
      <c r="N122" s="122" t="inlineStr">
        <is>
          <t>Cb  =</t>
        </is>
      </c>
      <c r="O122" s="93">
        <f>ROUND(C47+VLOOKUP(D48,Parametros!E2:G6,2,FALSE)/2,1)</f>
        <v/>
      </c>
      <c r="P122" s="95" t="inlineStr">
        <is>
          <t>cm</t>
        </is>
      </c>
      <c r="Q122" s="131">
        <f>(E69-1)*2</f>
        <v/>
      </c>
    </row>
    <row r="123">
      <c r="A123" s="95" t="n"/>
      <c r="B123" s="95" t="n"/>
      <c r="C123" s="117" t="inlineStr">
        <is>
          <t>Ψt  =</t>
        </is>
      </c>
      <c r="D123" s="132">
        <f>IF(J48&lt;40,1,1.3)</f>
        <v/>
      </c>
      <c r="E123" s="95" t="n"/>
      <c r="F123" s="95" t="n"/>
      <c r="G123" s="95" t="n"/>
      <c r="H123" s="95" t="n"/>
      <c r="I123" s="95" t="n"/>
      <c r="J123" s="95" t="n"/>
      <c r="K123" s="95" t="n"/>
      <c r="L123" s="95" t="n"/>
      <c r="N123" s="95" t="n"/>
      <c r="O123" s="116">
        <f>ROUND(C47+1.5*VLOOKUP(D48,Parametros!E2:G6,2,FALSE),1)</f>
        <v/>
      </c>
      <c r="P123" s="95" t="inlineStr">
        <is>
          <t>cm</t>
        </is>
      </c>
    </row>
    <row r="124">
      <c r="A124" s="95" t="n"/>
      <c r="B124" s="95" t="n"/>
      <c r="C124" s="117" t="inlineStr">
        <is>
          <t>Ψe  =</t>
        </is>
      </c>
      <c r="D124" s="155" t="n">
        <v>1</v>
      </c>
      <c r="E124" s="95" t="n"/>
      <c r="F124" s="71">
        <f>IF(PRODUCT(D123:D124)&lt;=1.7,CONCATENATE("Ψt*Ψe = ",PRODUCT(D123:D124)," &lt; 1.7"),CONCATENATE("Ψt*Ψe = ",PRODUCT(D123:D124)," &gt; 1.7"))</f>
        <v/>
      </c>
      <c r="G124" s="95" t="n"/>
      <c r="H124" s="95" t="n"/>
      <c r="I124" s="95" t="n"/>
      <c r="J124" s="95" t="n"/>
      <c r="K124" s="95" t="n"/>
      <c r="L124" s="95" t="n"/>
    </row>
    <row r="125">
      <c r="A125" s="95" t="n"/>
      <c r="B125" s="95" t="n"/>
      <c r="C125" s="117" t="inlineStr">
        <is>
          <t>Ψs  =</t>
        </is>
      </c>
      <c r="D125" s="132">
        <f>IF(VLOOKUP(D48,Parametros!E2:H6,4,FALSE)&lt;=6,0.8,1)</f>
        <v/>
      </c>
      <c r="E125" s="95" t="n"/>
      <c r="F125" s="95" t="n"/>
      <c r="G125" s="71" t="n"/>
      <c r="H125" s="71" t="n"/>
      <c r="I125" s="95" t="n"/>
      <c r="J125" s="95" t="n"/>
      <c r="K125" s="95" t="n"/>
      <c r="L125" s="95" t="n"/>
      <c r="S125" s="57">
        <f>CONCATENATE(C47," + 1.5*",VLOOKUP(D48,Parametros!E2:G6,2,FALSE))</f>
        <v/>
      </c>
    </row>
    <row r="126">
      <c r="A126" s="95" t="n"/>
      <c r="B126" s="95" t="n"/>
      <c r="C126" s="117" t="inlineStr">
        <is>
          <t>λ  =</t>
        </is>
      </c>
      <c r="D126" s="155" t="n">
        <v>1</v>
      </c>
      <c r="E126" s="85" t="inlineStr">
        <is>
          <t>C° de Peso Normal</t>
        </is>
      </c>
      <c r="F126" s="95" t="n"/>
      <c r="G126" s="95" t="n"/>
      <c r="H126" s="95" t="n"/>
      <c r="I126" s="95" t="n"/>
      <c r="J126" s="95" t="n"/>
      <c r="K126" s="95" t="n"/>
      <c r="L126" s="95" t="n"/>
    </row>
    <row r="127">
      <c r="A127" s="95" t="n"/>
      <c r="B127" s="95" t="n"/>
      <c r="C127" s="95" t="n"/>
      <c r="D127" s="95" t="n"/>
      <c r="E127" s="95" t="n"/>
      <c r="F127" s="95" t="n"/>
      <c r="G127" s="95" t="n"/>
      <c r="H127" s="107" t="inlineStr">
        <is>
          <t>ld  =</t>
        </is>
      </c>
      <c r="I127" s="124">
        <f>ROUND(((B15/(3.51*D126*SQRT(B13)))*(PRODUCT(IF(PRODUCT(D123:D124)&lt;=1.7,PRODUCT(D123:D124),1.7),D125)/J121))*VLOOKUP(D48,Parametros!E2:G6,2,FALSE),0)</f>
        <v/>
      </c>
      <c r="J127" s="104" t="inlineStr">
        <is>
          <t>cm</t>
        </is>
      </c>
      <c r="K127" s="95" t="n"/>
      <c r="L127" s="95" t="n"/>
    </row>
    <row r="128">
      <c r="A128" s="95" t="n"/>
      <c r="B128" s="95" t="n"/>
      <c r="C128" s="95" t="n"/>
      <c r="D128" s="95" t="n"/>
      <c r="E128" s="95" t="n"/>
      <c r="F128" s="95" t="n"/>
      <c r="G128" s="95" t="n"/>
      <c r="H128" s="96" t="inlineStr">
        <is>
          <t>ldmin  =</t>
        </is>
      </c>
      <c r="I128" s="88" t="n">
        <v>30</v>
      </c>
      <c r="J128" s="88" t="inlineStr">
        <is>
          <t>cm</t>
        </is>
      </c>
      <c r="K128" s="95" t="n"/>
      <c r="L128" s="95" t="n"/>
    </row>
    <row r="129">
      <c r="A129" s="95" t="n"/>
      <c r="B129" s="95" t="n"/>
      <c r="C129" s="95" t="n"/>
      <c r="D129" s="95" t="n"/>
      <c r="E129" s="95" t="n"/>
      <c r="F129" s="95" t="n"/>
      <c r="G129" s="95" t="n"/>
      <c r="H129" s="95" t="n"/>
      <c r="I129" s="95" t="n"/>
      <c r="J129" s="95" t="n"/>
      <c r="K129" s="95" t="n"/>
      <c r="L129" s="95" t="n"/>
    </row>
    <row r="130">
      <c r="A130" s="95" t="n"/>
      <c r="B130" s="71" t="n"/>
      <c r="C130" s="117" t="inlineStr">
        <is>
          <t>Longitud de Desarrollo Disonible :</t>
        </is>
      </c>
      <c r="F130" s="95" t="n"/>
      <c r="G130" s="95" t="n"/>
      <c r="H130" s="95" t="n"/>
      <c r="I130" s="95" t="n"/>
      <c r="J130" s="95" t="n"/>
      <c r="K130" s="95" t="n"/>
      <c r="L130" s="95" t="n"/>
    </row>
    <row r="131">
      <c r="A131" s="95" t="n"/>
      <c r="B131" s="95" t="n"/>
      <c r="C131" s="95" t="n"/>
      <c r="D131" s="95" t="n"/>
      <c r="E131" s="95" t="n"/>
      <c r="F131" s="95" t="n"/>
      <c r="G131" s="95" t="n"/>
      <c r="H131" s="95" t="n"/>
      <c r="I131" s="95" t="n"/>
      <c r="J131" s="95" t="n"/>
      <c r="K131" s="95" t="n"/>
      <c r="L131" s="95" t="n"/>
    </row>
    <row r="132">
      <c r="A132" s="95" t="n"/>
      <c r="B132" s="71" t="n"/>
      <c r="C132" s="95" t="n"/>
      <c r="D132" s="95" t="n"/>
      <c r="E132" s="117" t="inlineStr">
        <is>
          <t>Lv1  =  Lv2  =</t>
        </is>
      </c>
      <c r="F132" s="162">
        <f>(D27-B8)*0.5</f>
        <v/>
      </c>
      <c r="G132" s="71" t="inlineStr">
        <is>
          <t>m</t>
        </is>
      </c>
      <c r="H132" s="95" t="n"/>
      <c r="I132" s="95" t="n"/>
      <c r="J132" s="95" t="n"/>
      <c r="K132" s="95" t="n"/>
      <c r="L132" s="95" t="n"/>
      <c r="O132" s="57" t="inlineStr">
        <is>
          <t>Direccion Transversal</t>
        </is>
      </c>
    </row>
    <row r="133">
      <c r="A133" s="95" t="n"/>
      <c r="B133" s="95" t="n"/>
      <c r="C133" s="95" t="n"/>
      <c r="D133" s="95" t="n"/>
      <c r="E133" s="95" t="n"/>
      <c r="F133" s="95" t="n"/>
      <c r="G133" s="95" t="n"/>
      <c r="H133" s="95" t="n"/>
      <c r="I133" s="95" t="n"/>
      <c r="J133" s="95" t="n"/>
      <c r="K133" s="95" t="n"/>
      <c r="L133" s="95" t="n"/>
    </row>
    <row r="134">
      <c r="A134" s="95" t="n"/>
      <c r="B134" s="95" t="n"/>
      <c r="C134" s="70" t="inlineStr">
        <is>
          <t>Longitud de Desarrollo disponible en ambos sentidos</t>
        </is>
      </c>
      <c r="D134" s="116" t="n"/>
      <c r="E134" s="95" t="n"/>
      <c r="F134" s="95" t="n"/>
      <c r="G134" s="95" t="n"/>
      <c r="H134" s="95" t="n"/>
      <c r="I134" s="117" t="inlineStr">
        <is>
          <t>Ld  =</t>
        </is>
      </c>
      <c r="K134" s="103">
        <f>F132-C47/100</f>
        <v/>
      </c>
      <c r="L134" s="71" t="inlineStr">
        <is>
          <t>m</t>
        </is>
      </c>
      <c r="O134" s="57">
        <f>(D27*100-2*(C47+VLOOKUP(D48,Parametros!E2:G6,2,FALSE)))/(2*(E75-1))</f>
        <v/>
      </c>
    </row>
    <row r="135">
      <c r="A135" s="95" t="n"/>
      <c r="B135" s="95" t="n"/>
      <c r="C135" s="122" t="n"/>
      <c r="D135" s="116" t="n"/>
      <c r="E135" s="85" t="n"/>
      <c r="F135" s="95" t="n"/>
      <c r="G135" s="95" t="n"/>
      <c r="H135" s="160" t="n"/>
      <c r="I135" s="95" t="n"/>
      <c r="J135" s="161" t="n"/>
      <c r="K135" s="95" t="n"/>
      <c r="L135" s="95" t="n"/>
      <c r="N135" s="122" t="inlineStr">
        <is>
          <t>Cb  =</t>
        </is>
      </c>
      <c r="O135" s="57">
        <f>ROUND(C47+VLOOKUP(D48,Parametros!E2:G6,2,FALSE)/2,1)</f>
        <v/>
      </c>
    </row>
    <row r="136">
      <c r="A136" s="95" t="n"/>
      <c r="B136" s="95" t="n"/>
      <c r="C136" s="122" t="n"/>
      <c r="D136" s="163" t="n"/>
      <c r="E136" s="111">
        <f>IF(K134*100&lt;I127,"Doblar el Refuerzo hasta completar ld","No se Necesita doblar el Refuerzo")</f>
        <v/>
      </c>
      <c r="F136" s="95" t="n"/>
      <c r="G136" s="95" t="n"/>
      <c r="H136" s="95" t="n"/>
      <c r="I136" s="95" t="n"/>
      <c r="J136" s="95" t="n"/>
      <c r="K136" s="95" t="n"/>
      <c r="L136" s="95" t="n"/>
      <c r="Q136" s="126">
        <f>CONCATENATE(D27*100," - 2*(",C47," + ",VLOOKUP(D48,Parametros!E2:G6,2,FALSE),")")</f>
        <v/>
      </c>
      <c r="R136" s="164" t="n"/>
      <c r="S136" s="164" t="n"/>
    </row>
    <row r="137">
      <c r="A137" s="95" t="n"/>
      <c r="B137" s="95" t="n"/>
      <c r="C137" s="122" t="n"/>
      <c r="D137" s="155" t="n"/>
      <c r="E137" s="95" t="n"/>
      <c r="F137" s="95" t="n"/>
      <c r="G137" s="95" t="n"/>
      <c r="H137" s="95" t="n"/>
      <c r="I137" s="95" t="n"/>
      <c r="J137" s="95" t="n"/>
      <c r="K137" s="95" t="n"/>
      <c r="L137" s="95" t="n"/>
      <c r="Q137" s="127">
        <f>2*(E75-1)</f>
        <v/>
      </c>
      <c r="R137" s="165" t="n"/>
      <c r="S137" s="165" t="n"/>
    </row>
    <row r="138">
      <c r="A138" s="95" t="n"/>
      <c r="B138" s="95" t="n"/>
    </row>
    <row r="139"/>
    <row r="140"/>
    <row r="141"/>
    <row r="142"/>
    <row r="143"/>
    <row r="144"/>
    <row r="145"/>
    <row r="146"/>
    <row r="147"/>
    <row r="148"/>
    <row r="149">
      <c r="A149" s="95" t="n"/>
      <c r="B149" s="95" t="n"/>
      <c r="C149" s="95" t="n"/>
      <c r="D149" s="95" t="n"/>
      <c r="E149" s="95" t="n"/>
      <c r="F149" s="95" t="n"/>
      <c r="G149" s="95" t="n"/>
      <c r="H149" s="95" t="n"/>
      <c r="I149" s="95" t="n"/>
      <c r="J149" s="95" t="n"/>
      <c r="K149" s="95" t="n"/>
      <c r="L149" s="95" t="n"/>
    </row>
    <row r="150">
      <c r="A150" s="95" t="n"/>
      <c r="B150" s="95" t="n"/>
      <c r="C150" s="95" t="n"/>
      <c r="D150" s="95" t="n"/>
      <c r="E150" s="95" t="n"/>
      <c r="F150" s="95" t="n"/>
      <c r="G150" s="95" t="n"/>
      <c r="H150" s="95" t="n"/>
      <c r="I150" s="95" t="n"/>
      <c r="J150" s="95" t="n"/>
      <c r="K150" s="95" t="n"/>
      <c r="L150" s="95" t="n"/>
    </row>
    <row r="151">
      <c r="A151" s="95" t="n"/>
      <c r="B151" s="95" t="n"/>
      <c r="C151" s="95" t="n"/>
      <c r="D151" s="95" t="n"/>
      <c r="E151" s="95" t="n"/>
      <c r="F151" s="95" t="n"/>
      <c r="G151" s="95" t="n"/>
      <c r="H151" s="95" t="n"/>
      <c r="I151" s="95" t="n"/>
      <c r="J151" s="95" t="n"/>
      <c r="K151" s="95" t="n"/>
      <c r="L151" s="95" t="n"/>
    </row>
    <row r="152">
      <c r="A152" s="95" t="n"/>
      <c r="B152" s="95" t="n"/>
      <c r="C152" s="95" t="n"/>
      <c r="D152" s="95" t="n"/>
      <c r="E152" s="95" t="n"/>
      <c r="F152" s="95" t="n"/>
      <c r="G152" s="95" t="n"/>
      <c r="H152" s="95" t="n"/>
      <c r="I152" s="95" t="n"/>
      <c r="J152" s="95" t="n"/>
      <c r="K152" s="95" t="n"/>
      <c r="L152" s="95" t="n"/>
    </row>
    <row r="153">
      <c r="A153" s="95" t="n"/>
      <c r="B153" s="95" t="n"/>
      <c r="C153" s="95" t="n"/>
      <c r="D153" s="95" t="n"/>
      <c r="E153" s="95" t="n"/>
      <c r="F153" s="95" t="n"/>
      <c r="G153" s="95" t="n"/>
      <c r="H153" s="95" t="n"/>
      <c r="I153" s="95" t="n"/>
      <c r="J153" s="95" t="n"/>
      <c r="K153" s="95" t="n"/>
      <c r="L153" s="95" t="n"/>
    </row>
    <row r="154">
      <c r="A154" s="95" t="n"/>
      <c r="B154" s="95" t="n"/>
      <c r="C154" s="95" t="n"/>
      <c r="D154" s="95" t="n"/>
      <c r="E154" s="95" t="n"/>
      <c r="F154" s="95" t="n"/>
      <c r="G154" s="95" t="n"/>
      <c r="H154" s="95" t="n"/>
      <c r="I154" s="95" t="n"/>
      <c r="J154" s="95" t="n"/>
      <c r="K154" s="95" t="n"/>
      <c r="L154" s="95" t="n"/>
    </row>
    <row r="155">
      <c r="A155" s="95" t="n"/>
      <c r="B155" s="95" t="n"/>
      <c r="C155" s="95" t="n"/>
      <c r="D155" s="95" t="n"/>
      <c r="E155" s="95" t="n"/>
      <c r="F155" s="95" t="n"/>
      <c r="G155" s="95" t="n"/>
      <c r="H155" s="95" t="n"/>
      <c r="I155" s="95" t="n"/>
      <c r="J155" s="95" t="n"/>
      <c r="K155" s="95" t="n"/>
      <c r="L155" s="95" t="n"/>
    </row>
    <row r="156">
      <c r="A156" s="95" t="n"/>
      <c r="B156" s="95" t="n"/>
      <c r="C156" s="95" t="n"/>
      <c r="D156" s="95" t="n"/>
      <c r="E156" s="95" t="n"/>
      <c r="F156" s="95" t="n"/>
      <c r="G156" s="95" t="n"/>
      <c r="H156" s="95" t="n"/>
      <c r="I156" s="95" t="n"/>
      <c r="J156" s="95" t="n"/>
      <c r="K156" s="95" t="n"/>
      <c r="L156" s="95" t="n"/>
    </row>
    <row r="157">
      <c r="A157" s="95" t="n"/>
      <c r="B157" s="95" t="n"/>
      <c r="C157" s="95" t="n"/>
      <c r="D157" s="95" t="n"/>
      <c r="E157" s="95" t="n"/>
      <c r="F157" s="95" t="n"/>
      <c r="G157" s="95" t="n"/>
      <c r="H157" s="95" t="n"/>
      <c r="I157" s="95" t="n"/>
      <c r="J157" s="95" t="n"/>
      <c r="K157" s="95" t="n"/>
      <c r="L157" s="95" t="n"/>
    </row>
    <row r="158">
      <c r="A158" s="95" t="n"/>
      <c r="B158" s="95" t="n"/>
      <c r="C158" s="95" t="n"/>
      <c r="D158" s="95" t="n"/>
      <c r="E158" s="95" t="n"/>
      <c r="F158" s="95" t="n"/>
      <c r="G158" s="95" t="n"/>
      <c r="H158" s="95" t="n"/>
      <c r="I158" s="95" t="n"/>
      <c r="J158" s="95" t="n"/>
      <c r="K158" s="95" t="n"/>
      <c r="L158" s="95" t="n"/>
    </row>
    <row r="159">
      <c r="A159" s="95" t="n"/>
      <c r="B159" s="95" t="n"/>
      <c r="C159" s="95" t="n"/>
      <c r="D159" s="95" t="n"/>
      <c r="E159" s="95" t="n"/>
      <c r="F159" s="95" t="n"/>
      <c r="G159" s="95" t="n"/>
      <c r="H159" s="95" t="n"/>
      <c r="I159" s="95" t="n"/>
      <c r="J159" s="95" t="n"/>
      <c r="K159" s="95" t="n"/>
      <c r="L159" s="95" t="n"/>
    </row>
    <row r="160">
      <c r="A160" s="95" t="n"/>
      <c r="B160" s="95" t="n"/>
      <c r="C160" s="95" t="n"/>
      <c r="D160" s="95" t="n"/>
      <c r="E160" s="95" t="n"/>
      <c r="F160" s="95" t="n"/>
      <c r="G160" s="95" t="n"/>
      <c r="H160" s="95" t="n"/>
      <c r="I160" s="95" t="n"/>
      <c r="J160" s="95" t="n"/>
      <c r="K160" s="95" t="n"/>
      <c r="L160" s="95" t="n"/>
    </row>
    <row r="161">
      <c r="A161" s="95" t="n"/>
      <c r="B161" s="95" t="n"/>
      <c r="C161" s="95" t="n"/>
      <c r="D161" s="95" t="n"/>
      <c r="E161" s="95" t="n"/>
      <c r="F161" s="95" t="n"/>
      <c r="G161" s="95" t="n"/>
      <c r="H161" s="95" t="n"/>
      <c r="I161" s="95" t="n"/>
      <c r="J161" s="95" t="n"/>
      <c r="K161" s="95" t="n"/>
      <c r="L161" s="95" t="n"/>
    </row>
    <row r="162">
      <c r="A162" s="95" t="n"/>
      <c r="B162" s="95" t="n"/>
      <c r="C162" s="95" t="n"/>
      <c r="D162" s="95" t="n"/>
      <c r="E162" s="95" t="n"/>
      <c r="F162" s="95" t="n"/>
      <c r="G162" s="95" t="n"/>
      <c r="H162" s="95" t="n"/>
      <c r="I162" s="95" t="n"/>
      <c r="J162" s="95" t="n"/>
      <c r="K162" s="95" t="n"/>
      <c r="L162" s="95" t="n"/>
    </row>
    <row r="163">
      <c r="A163" s="95" t="n"/>
      <c r="B163" s="95" t="n"/>
      <c r="C163" s="95" t="n"/>
      <c r="D163" s="95" t="n"/>
      <c r="E163" s="95" t="n"/>
      <c r="F163" s="95" t="n"/>
      <c r="G163" s="95" t="n"/>
      <c r="H163" s="95" t="n"/>
      <c r="I163" s="95" t="n"/>
      <c r="J163" s="95" t="n"/>
      <c r="K163" s="95" t="n"/>
      <c r="L163" s="95" t="n"/>
    </row>
    <row r="164">
      <c r="A164" s="95" t="n"/>
      <c r="B164" s="95" t="n"/>
      <c r="C164" s="95" t="n"/>
      <c r="D164" s="95" t="n"/>
      <c r="E164" s="95" t="n"/>
      <c r="F164" s="95" t="n"/>
      <c r="G164" s="95" t="n"/>
      <c r="H164" s="95" t="n"/>
      <c r="I164" s="95" t="n"/>
      <c r="J164" s="95" t="n"/>
      <c r="K164" s="95" t="n"/>
      <c r="L164" s="95" t="n"/>
    </row>
    <row r="165">
      <c r="A165" s="95" t="n"/>
      <c r="B165" s="95" t="n"/>
      <c r="C165" s="95" t="n"/>
      <c r="D165" s="95" t="n"/>
      <c r="E165" s="95" t="n"/>
      <c r="F165" s="95" t="n"/>
      <c r="G165" s="95" t="n"/>
      <c r="H165" s="95" t="n"/>
      <c r="I165" s="95" t="n"/>
      <c r="J165" s="95" t="n"/>
      <c r="K165" s="95" t="n"/>
      <c r="L165" s="95" t="n"/>
    </row>
    <row r="166">
      <c r="A166" s="95" t="n"/>
      <c r="B166" s="95" t="n"/>
      <c r="C166" s="95" t="n"/>
      <c r="D166" s="95" t="n"/>
      <c r="E166" s="95" t="n"/>
      <c r="F166" s="95" t="n"/>
      <c r="G166" s="95" t="n"/>
      <c r="H166" s="95" t="n"/>
      <c r="I166" s="95" t="n"/>
      <c r="J166" s="95" t="n"/>
      <c r="K166" s="95" t="n"/>
      <c r="L166" s="95" t="n"/>
    </row>
    <row r="167">
      <c r="A167" s="95" t="n"/>
      <c r="B167" s="95" t="n"/>
      <c r="C167" s="95" t="n"/>
      <c r="D167" s="95" t="n"/>
      <c r="E167" s="95" t="n"/>
      <c r="F167" s="95" t="n"/>
      <c r="G167" s="95" t="n"/>
      <c r="H167" s="95" t="n"/>
      <c r="I167" s="95" t="n"/>
      <c r="J167" s="95" t="n"/>
      <c r="K167" s="95" t="n"/>
      <c r="L167" s="95" t="n"/>
    </row>
  </sheetData>
  <mergeCells count="31">
    <mergeCell ref="C99:E99"/>
    <mergeCell ref="D2:I2"/>
    <mergeCell ref="D100:E100"/>
    <mergeCell ref="F50:H50"/>
    <mergeCell ref="F99:G99"/>
    <mergeCell ref="F89:G89"/>
    <mergeCell ref="C130:E130"/>
    <mergeCell ref="F83:G83"/>
    <mergeCell ref="Q137:S137"/>
    <mergeCell ref="B48:C48"/>
    <mergeCell ref="D95:H95"/>
    <mergeCell ref="I98:K98"/>
    <mergeCell ref="I134:J134"/>
    <mergeCell ref="B98:F98"/>
    <mergeCell ref="J91:J92"/>
    <mergeCell ref="N107:N108"/>
    <mergeCell ref="F94:G94"/>
    <mergeCell ref="Q122:R122"/>
    <mergeCell ref="F90:G90"/>
    <mergeCell ref="B112:L112"/>
    <mergeCell ref="H99:I99"/>
    <mergeCell ref="G91:G92"/>
    <mergeCell ref="F93:G93"/>
    <mergeCell ref="D83:E83"/>
    <mergeCell ref="D82:E82"/>
    <mergeCell ref="H91:H92"/>
    <mergeCell ref="F82:G82"/>
    <mergeCell ref="A1:L1"/>
    <mergeCell ref="Q136:S136"/>
    <mergeCell ref="I50:J50"/>
    <mergeCell ref="D85:H85"/>
  </mergeCells>
  <dataValidations count="1">
    <dataValidation sqref="B3" showDropDown="0" showInputMessage="1" showErrorMessage="1" allowBlank="1" type="list">
      <formula1>$M$2:$M$69</formula1>
    </dataValidation>
  </dataValidations>
  <pageMargins left="0.7" right="0.7" top="0.75" bottom="0.75" header="0.3" footer="0.3"/>
  <pageSetup orientation="portrait" horizontalDpi="300" verticalDpi="0"/>
  <drawing xmlns:r="http://schemas.openxmlformats.org/officeDocument/2006/relationships" r:id="rId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295"/>
  <sheetViews>
    <sheetView tabSelected="1" workbookViewId="0">
      <selection activeCell="S3" sqref="S3"/>
    </sheetView>
  </sheetViews>
  <sheetFormatPr baseColWidth="10" defaultRowHeight="12.75"/>
  <cols>
    <col width="4.5703125" customWidth="1" style="44" min="1" max="1"/>
    <col width="5.5703125" bestFit="1" customWidth="1" style="44" min="2" max="2"/>
    <col width="6.7109375" customWidth="1" style="44" min="3" max="3"/>
    <col width="7.42578125" bestFit="1" customWidth="1" style="44" min="4" max="4"/>
    <col width="7.140625" customWidth="1" style="44" min="5" max="5"/>
    <col width="6.7109375" customWidth="1" style="44" min="6" max="6"/>
    <col width="8.85546875" customWidth="1" style="44" min="7" max="7"/>
    <col width="4.140625" customWidth="1" style="44" min="8" max="8"/>
    <col width="9.28515625" customWidth="1" style="44" min="9" max="9"/>
    <col width="8.140625" customWidth="1" style="44" min="10" max="10"/>
    <col width="7.42578125" bestFit="1" customWidth="1" style="44" min="11" max="11"/>
    <col width="7.7109375" customWidth="1" style="44" min="12" max="12"/>
    <col width="3.140625" customWidth="1" style="44" min="13" max="13"/>
    <col width="11.42578125" customWidth="1" style="44" min="14" max="16384"/>
  </cols>
  <sheetData>
    <row r="1" ht="26.25" customHeight="1">
      <c r="A1" s="136" t="inlineStr">
        <is>
          <t>ZAPATA COMBINADA RECTANGULAR</t>
        </is>
      </c>
    </row>
    <row r="2" ht="15" customHeight="1">
      <c r="A2" s="18" t="n"/>
      <c r="B2" s="18" t="n"/>
      <c r="C2" s="18" t="n"/>
      <c r="E2" s="135" t="inlineStr">
        <is>
          <t>ACI 318S-08</t>
        </is>
      </c>
      <c r="L2" s="18" t="n"/>
      <c r="M2" s="18" t="n"/>
      <c r="N2" s="18" t="n"/>
    </row>
    <row r="3">
      <c r="A3" s="18" t="n"/>
      <c r="B3" s="18" t="n"/>
      <c r="C3" s="18" t="n"/>
      <c r="D3" s="18" t="n"/>
      <c r="E3" s="18" t="n"/>
      <c r="F3" s="18" t="n"/>
      <c r="G3" s="18" t="n"/>
      <c r="H3" s="18" t="n"/>
      <c r="J3" s="140" t="inlineStr">
        <is>
          <t>Cimentación</t>
        </is>
      </c>
      <c r="K3" s="166" t="n"/>
      <c r="L3" s="167" t="n"/>
      <c r="M3" s="18" t="n"/>
      <c r="N3" s="18" t="n"/>
    </row>
    <row r="4">
      <c r="A4" s="18" t="n"/>
      <c r="B4" s="140" t="inlineStr">
        <is>
          <t>Columna Izquierda</t>
        </is>
      </c>
      <c r="C4" s="166" t="n"/>
      <c r="D4" s="167" t="n"/>
      <c r="E4" s="140" t="inlineStr">
        <is>
          <t>Columna Derecha</t>
        </is>
      </c>
      <c r="F4" s="166" t="n"/>
      <c r="G4" s="167" t="n"/>
      <c r="H4" s="18" t="n"/>
      <c r="I4" s="18" t="n"/>
      <c r="J4" s="6" t="inlineStr">
        <is>
          <t>hf  =</t>
        </is>
      </c>
      <c r="K4" s="52" t="n">
        <v>1.5</v>
      </c>
      <c r="L4" s="8" t="inlineStr">
        <is>
          <t>m</t>
        </is>
      </c>
      <c r="M4" s="18" t="n"/>
      <c r="N4" s="18" t="n"/>
    </row>
    <row r="5">
      <c r="A5" s="18" t="n"/>
      <c r="B5" s="6" t="inlineStr">
        <is>
          <t>Pd  =</t>
        </is>
      </c>
      <c r="C5" s="45" t="n">
        <v>75000</v>
      </c>
      <c r="D5" s="8" t="inlineStr">
        <is>
          <t>Kg</t>
        </is>
      </c>
      <c r="E5" s="6" t="inlineStr">
        <is>
          <t>Pd  =</t>
        </is>
      </c>
      <c r="F5" s="48" t="n">
        <v>125000</v>
      </c>
      <c r="G5" s="8" t="inlineStr">
        <is>
          <t>Kg</t>
        </is>
      </c>
      <c r="H5" s="18" t="n"/>
      <c r="I5" s="18" t="n"/>
      <c r="J5" s="10" t="inlineStr">
        <is>
          <t>S/C  =</t>
        </is>
      </c>
      <c r="K5" s="53" t="n">
        <v>500</v>
      </c>
      <c r="L5" s="11" t="inlineStr">
        <is>
          <t>Kg/m2</t>
        </is>
      </c>
      <c r="M5" s="18" t="n"/>
      <c r="N5" s="18" t="n"/>
    </row>
    <row r="6">
      <c r="A6" s="18" t="n"/>
      <c r="B6" s="10" t="inlineStr">
        <is>
          <t>Pl  =</t>
        </is>
      </c>
      <c r="C6" s="45" t="n">
        <v>35000</v>
      </c>
      <c r="D6" s="11" t="inlineStr">
        <is>
          <t>Kg</t>
        </is>
      </c>
      <c r="E6" s="10" t="inlineStr">
        <is>
          <t>Pl  =</t>
        </is>
      </c>
      <c r="F6" s="53" t="n">
        <v>50000</v>
      </c>
      <c r="G6" s="11" t="inlineStr">
        <is>
          <t>Kg</t>
        </is>
      </c>
      <c r="H6" s="18" t="n"/>
      <c r="I6" s="18" t="n"/>
      <c r="J6" s="10" t="inlineStr">
        <is>
          <t>hc  =</t>
        </is>
      </c>
      <c r="K6" s="52" t="n">
        <v>0.1</v>
      </c>
      <c r="L6" s="11" t="inlineStr">
        <is>
          <t>m</t>
        </is>
      </c>
      <c r="M6" s="18" t="n"/>
      <c r="N6" s="18" t="n"/>
    </row>
    <row r="7">
      <c r="A7" s="18" t="n"/>
      <c r="B7" s="10" t="inlineStr">
        <is>
          <t>t1  =</t>
        </is>
      </c>
      <c r="C7" s="46" t="n">
        <v>0.5</v>
      </c>
      <c r="D7" s="11" t="inlineStr">
        <is>
          <t>m</t>
        </is>
      </c>
      <c r="E7" s="10" t="inlineStr">
        <is>
          <t>t1  =</t>
        </is>
      </c>
      <c r="F7" s="52" t="n">
        <v>0.65</v>
      </c>
      <c r="G7" s="11" t="inlineStr">
        <is>
          <t>m</t>
        </is>
      </c>
      <c r="H7" s="18" t="n"/>
      <c r="I7" s="18" t="n"/>
      <c r="J7" s="10" t="inlineStr">
        <is>
          <t>ϒm  =</t>
        </is>
      </c>
      <c r="K7" s="53" t="n">
        <v>2100</v>
      </c>
      <c r="L7" s="11" t="inlineStr">
        <is>
          <t>Kg/m3</t>
        </is>
      </c>
      <c r="M7" s="18" t="n"/>
      <c r="N7" s="18" t="n"/>
    </row>
    <row r="8">
      <c r="A8" s="18" t="n"/>
      <c r="B8" s="10" t="inlineStr">
        <is>
          <t>t2  =</t>
        </is>
      </c>
      <c r="C8" s="46" t="n">
        <v>0.5</v>
      </c>
      <c r="D8" s="11" t="inlineStr">
        <is>
          <t>m</t>
        </is>
      </c>
      <c r="E8" s="10" t="inlineStr">
        <is>
          <t>t2  =</t>
        </is>
      </c>
      <c r="F8" s="52" t="n">
        <v>0.65</v>
      </c>
      <c r="G8" s="11" t="inlineStr">
        <is>
          <t>m</t>
        </is>
      </c>
      <c r="H8" s="18" t="n"/>
      <c r="I8" s="18" t="n"/>
      <c r="J8" s="10" t="inlineStr">
        <is>
          <t>σt  =</t>
        </is>
      </c>
      <c r="K8" s="52" t="n">
        <v>2</v>
      </c>
      <c r="L8" s="11" t="inlineStr">
        <is>
          <t>Kg/cm2</t>
        </is>
      </c>
      <c r="M8" s="18" t="n"/>
      <c r="N8" s="18" t="n"/>
    </row>
    <row r="9">
      <c r="A9" s="18" t="n"/>
      <c r="B9" s="12" t="inlineStr">
        <is>
          <t>f'c  =</t>
        </is>
      </c>
      <c r="C9" s="47" t="n">
        <v>210</v>
      </c>
      <c r="D9" s="13" t="inlineStr">
        <is>
          <t>Kg/cm2</t>
        </is>
      </c>
      <c r="E9" s="12" t="inlineStr">
        <is>
          <t>f'c  =</t>
        </is>
      </c>
      <c r="F9" s="51" t="n">
        <v>210</v>
      </c>
      <c r="G9" s="13" t="inlineStr">
        <is>
          <t>Kg/cm2</t>
        </is>
      </c>
      <c r="H9" s="18" t="n"/>
      <c r="I9" s="18" t="n"/>
      <c r="J9" s="10" t="inlineStr">
        <is>
          <t>f'c  =</t>
        </is>
      </c>
      <c r="K9" s="53" t="n">
        <v>175</v>
      </c>
      <c r="L9" s="11" t="inlineStr">
        <is>
          <t>Kg/cm2</t>
        </is>
      </c>
      <c r="M9" s="18" t="n"/>
      <c r="N9" s="18" t="n"/>
    </row>
    <row r="10">
      <c r="A10" s="18" t="n"/>
      <c r="B10" s="18" t="n"/>
      <c r="C10" s="18" t="n"/>
      <c r="D10" s="18" t="n"/>
      <c r="E10" s="18" t="n"/>
      <c r="F10" s="18" t="n"/>
      <c r="G10" s="18" t="n"/>
      <c r="H10" s="18" t="n"/>
      <c r="I10" s="18" t="n"/>
      <c r="J10" s="12" t="inlineStr">
        <is>
          <t>fy  =</t>
        </is>
      </c>
      <c r="K10" s="51" t="n">
        <v>4200</v>
      </c>
      <c r="L10" s="13" t="inlineStr">
        <is>
          <t>Kg/cm2</t>
        </is>
      </c>
      <c r="M10" s="18" t="n"/>
      <c r="N10" s="18" t="n"/>
    </row>
    <row r="11">
      <c r="A11" s="18" t="n"/>
      <c r="B11" s="30" t="n"/>
      <c r="C11" s="30" t="n"/>
      <c r="D11" s="30" t="n"/>
      <c r="E11" s="15" t="inlineStr">
        <is>
          <t>l1  =</t>
        </is>
      </c>
      <c r="F11" s="55" t="n">
        <v>5</v>
      </c>
      <c r="G11" s="30" t="inlineStr">
        <is>
          <t>m</t>
        </is>
      </c>
      <c r="H11" s="18" t="n"/>
      <c r="I11" s="18" t="n"/>
      <c r="J11" s="18" t="n"/>
      <c r="K11" s="18" t="n"/>
      <c r="L11" s="18" t="n"/>
      <c r="M11" s="18" t="n"/>
      <c r="N11" s="18" t="n"/>
    </row>
    <row r="12">
      <c r="A12" s="18" t="n"/>
      <c r="B12" s="18" t="n"/>
      <c r="C12" s="18" t="n"/>
      <c r="D12" s="18" t="n"/>
      <c r="E12" s="18" t="n"/>
      <c r="F12" s="18" t="n"/>
      <c r="G12" s="18" t="n"/>
      <c r="H12" s="18" t="n"/>
      <c r="I12" s="18" t="n"/>
      <c r="J12" s="18" t="n"/>
      <c r="K12" s="18" t="n"/>
      <c r="L12" s="18" t="n"/>
      <c r="M12" s="18" t="n"/>
      <c r="N12" s="18" t="n"/>
    </row>
    <row r="13">
      <c r="A13" s="18" t="n"/>
      <c r="B13" s="18" t="n"/>
      <c r="C13" s="18" t="n"/>
      <c r="D13" s="18" t="n"/>
      <c r="E13" s="18" t="n"/>
      <c r="F13" s="18" t="n"/>
      <c r="G13" s="18" t="n"/>
      <c r="H13" s="18" t="n"/>
      <c r="I13" s="18" t="n"/>
      <c r="J13" s="18" t="n"/>
      <c r="K13" s="18" t="n"/>
      <c r="L13" s="18" t="n"/>
      <c r="M13" s="18" t="n"/>
      <c r="N13" s="18" t="n"/>
    </row>
    <row r="14">
      <c r="A14" s="18" t="n"/>
      <c r="B14" s="18" t="n"/>
      <c r="C14" s="18" t="n"/>
      <c r="D14" s="18" t="n"/>
      <c r="E14" s="18" t="n"/>
      <c r="F14" s="18" t="n"/>
      <c r="G14" s="18" t="n"/>
      <c r="H14" s="18" t="n"/>
      <c r="I14" s="18" t="n"/>
      <c r="J14" s="18" t="n"/>
      <c r="K14" s="18" t="n"/>
      <c r="L14" s="18" t="n"/>
      <c r="M14" s="18" t="n"/>
      <c r="N14" s="18" t="n"/>
    </row>
    <row r="15">
      <c r="A15" s="18" t="n"/>
      <c r="B15" s="18" t="n"/>
      <c r="C15" s="18" t="n"/>
      <c r="D15" s="18" t="n"/>
      <c r="E15" s="18" t="n"/>
      <c r="F15" s="18" t="n"/>
      <c r="G15" s="18" t="n"/>
      <c r="H15" s="18" t="n"/>
      <c r="I15" s="18" t="n"/>
      <c r="J15" s="18" t="n"/>
      <c r="K15" s="18" t="n"/>
      <c r="L15" s="18" t="n"/>
      <c r="M15" s="18" t="n"/>
      <c r="N15" s="18" t="n"/>
    </row>
    <row r="16">
      <c r="A16" s="18" t="n"/>
      <c r="B16" s="18" t="n"/>
      <c r="C16" s="18" t="n"/>
      <c r="D16" s="18" t="n"/>
      <c r="E16" s="18" t="n"/>
      <c r="F16" s="18" t="n"/>
      <c r="G16" s="18" t="n"/>
      <c r="H16" s="18" t="n"/>
      <c r="I16" s="18" t="n"/>
      <c r="J16" s="18" t="n"/>
      <c r="K16" s="18" t="n"/>
      <c r="L16" s="18" t="n"/>
      <c r="M16" s="18" t="n"/>
      <c r="N16" s="18" t="n"/>
    </row>
    <row r="17">
      <c r="A17" s="18" t="n"/>
      <c r="B17" s="18" t="n"/>
      <c r="C17" s="18" t="n"/>
      <c r="D17" s="18" t="n"/>
      <c r="E17" s="18" t="n"/>
      <c r="F17" s="18" t="n"/>
      <c r="G17" s="18" t="n"/>
      <c r="H17" s="18" t="n"/>
      <c r="I17" s="18" t="n"/>
      <c r="J17" s="18" t="n"/>
      <c r="K17" s="18" t="n"/>
      <c r="L17" s="18" t="n"/>
      <c r="M17" s="18" t="n"/>
      <c r="N17" s="18" t="n"/>
    </row>
    <row r="18">
      <c r="A18" s="18" t="n"/>
      <c r="B18" s="18" t="n"/>
      <c r="C18" s="18" t="n"/>
      <c r="D18" s="18" t="n"/>
      <c r="E18" s="18" t="n"/>
      <c r="F18" s="18" t="n"/>
      <c r="G18" s="18" t="n"/>
      <c r="H18" s="18" t="n"/>
      <c r="I18" s="18" t="n"/>
      <c r="J18" s="18" t="n"/>
      <c r="K18" s="18" t="n"/>
      <c r="L18" s="18" t="n"/>
      <c r="M18" s="18" t="n"/>
      <c r="N18" s="18" t="n"/>
    </row>
    <row r="19">
      <c r="A19" s="18" t="n"/>
      <c r="B19" s="18" t="n"/>
      <c r="C19" s="18" t="n"/>
      <c r="D19" s="18" t="n"/>
      <c r="E19" s="18" t="n"/>
      <c r="F19" s="18" t="n"/>
      <c r="G19" s="18" t="n"/>
      <c r="H19" s="18" t="n"/>
      <c r="I19" s="18" t="n"/>
      <c r="J19" s="18" t="n"/>
      <c r="K19" s="18" t="n"/>
      <c r="L19" s="18" t="n"/>
      <c r="M19" s="18" t="n"/>
      <c r="N19" s="18" t="n"/>
    </row>
    <row r="20">
      <c r="A20" s="18" t="n"/>
      <c r="B20" s="18" t="n"/>
      <c r="C20" s="18" t="n"/>
      <c r="D20" s="18" t="n"/>
      <c r="E20" s="18" t="n"/>
      <c r="F20" s="18" t="n"/>
      <c r="G20" s="18" t="n"/>
      <c r="H20" s="18" t="n"/>
      <c r="I20" s="18" t="n"/>
      <c r="J20" s="18" t="n"/>
      <c r="K20" s="18" t="n"/>
      <c r="L20" s="18" t="n"/>
      <c r="M20" s="18" t="n"/>
      <c r="N20" s="18" t="n"/>
    </row>
    <row r="21" ht="6.75" customHeight="1">
      <c r="A21" s="18" t="n"/>
      <c r="B21" s="18" t="n"/>
      <c r="C21" s="18" t="n"/>
      <c r="D21" s="18" t="n"/>
      <c r="E21" s="18" t="n"/>
      <c r="F21" s="18" t="n"/>
      <c r="G21" s="18" t="n"/>
      <c r="H21" s="18" t="n"/>
      <c r="I21" s="18" t="n"/>
      <c r="J21" s="18" t="n"/>
      <c r="K21" s="18" t="n"/>
      <c r="L21" s="18" t="n"/>
      <c r="M21" s="18" t="n"/>
      <c r="N21" s="18" t="n"/>
    </row>
    <row r="22">
      <c r="A22" s="18" t="n"/>
      <c r="B22" s="18" t="n"/>
      <c r="C22" s="18" t="n"/>
      <c r="D22" s="18" t="n"/>
      <c r="E22" s="18" t="n"/>
      <c r="F22" s="18" t="n"/>
      <c r="G22" s="18" t="n"/>
      <c r="H22" s="18" t="n"/>
      <c r="I22" s="18" t="n"/>
      <c r="J22" s="18" t="n"/>
      <c r="K22" s="18" t="n"/>
      <c r="L22" s="18" t="n"/>
      <c r="M22" s="18" t="n"/>
      <c r="N22" s="18" t="n"/>
    </row>
    <row r="23" ht="10.5" customHeight="1">
      <c r="A23" s="18" t="n"/>
      <c r="B23" s="18" t="n"/>
      <c r="C23" s="18" t="n"/>
      <c r="D23" s="18" t="n"/>
      <c r="E23" s="18" t="n"/>
      <c r="F23" s="18" t="n"/>
      <c r="G23" s="18" t="n"/>
      <c r="H23" s="18" t="n"/>
      <c r="I23" s="18" t="n"/>
      <c r="J23" s="18" t="n"/>
      <c r="K23" s="18" t="n"/>
      <c r="L23" s="18" t="n"/>
      <c r="M23" s="18" t="n"/>
      <c r="N23" s="18" t="n"/>
    </row>
    <row r="24">
      <c r="A24" s="18" t="n"/>
      <c r="B24" s="18" t="n"/>
      <c r="C24" s="18" t="n"/>
      <c r="D24" s="18" t="n"/>
      <c r="E24" s="18" t="n"/>
      <c r="F24" s="18" t="n"/>
      <c r="G24" s="18" t="n"/>
      <c r="H24" s="18" t="n"/>
      <c r="I24" s="18" t="n"/>
      <c r="J24" s="18" t="n"/>
      <c r="K24" s="18" t="n"/>
      <c r="L24" s="18" t="n"/>
      <c r="M24" s="18" t="n"/>
      <c r="N24" s="18" t="n"/>
    </row>
    <row r="25">
      <c r="A25" s="18" t="n"/>
      <c r="B25" s="18" t="n"/>
      <c r="C25" s="18" t="n"/>
      <c r="D25" s="18" t="n"/>
      <c r="E25" s="18" t="n"/>
      <c r="F25" s="18" t="n"/>
      <c r="G25" s="18" t="n"/>
      <c r="H25" s="18" t="n"/>
      <c r="I25" s="18" t="n"/>
      <c r="J25" s="18" t="n"/>
      <c r="K25" s="18" t="n"/>
      <c r="L25" s="18" t="n"/>
      <c r="M25" s="18" t="n"/>
      <c r="N25" s="18" t="n"/>
    </row>
    <row r="26">
      <c r="A26" s="18" t="n"/>
      <c r="B26" s="18" t="n"/>
      <c r="C26" s="18" t="n"/>
      <c r="D26" s="18" t="n"/>
      <c r="E26" s="18" t="n"/>
      <c r="F26" s="18" t="n"/>
      <c r="G26" s="18" t="n"/>
      <c r="H26" s="18" t="n"/>
      <c r="I26" s="18" t="n"/>
      <c r="J26" s="18" t="n"/>
      <c r="K26" s="18" t="n"/>
      <c r="L26" s="18" t="n"/>
      <c r="M26" s="18" t="n"/>
      <c r="N26" s="18" t="n"/>
    </row>
    <row r="27">
      <c r="A27" s="18" t="n"/>
      <c r="B27" s="18" t="n"/>
      <c r="C27" s="18" t="n"/>
      <c r="D27" s="18" t="n"/>
      <c r="E27" s="18" t="n"/>
      <c r="F27" s="18" t="n"/>
      <c r="G27" s="18" t="n"/>
      <c r="H27" s="18" t="n"/>
      <c r="I27" s="18" t="n"/>
      <c r="J27" s="18" t="n"/>
      <c r="K27" s="18" t="n"/>
      <c r="L27" s="18" t="n"/>
      <c r="M27" s="18" t="n"/>
      <c r="N27" s="18" t="n"/>
    </row>
    <row r="28">
      <c r="A28" s="18" t="n"/>
      <c r="B28" s="18" t="n"/>
      <c r="C28" s="18" t="n"/>
      <c r="D28" s="18" t="n"/>
      <c r="E28" s="18" t="n"/>
      <c r="F28" s="18" t="n"/>
      <c r="G28" s="18" t="n"/>
      <c r="H28" s="18" t="n"/>
      <c r="I28" s="18" t="n"/>
      <c r="J28" s="18" t="n"/>
      <c r="K28" s="18" t="n"/>
      <c r="L28" s="18" t="n"/>
      <c r="M28" s="18" t="n"/>
      <c r="N28" s="18" t="n"/>
    </row>
    <row r="29">
      <c r="A29" s="18" t="n"/>
      <c r="B29" s="18" t="n"/>
      <c r="C29" s="18" t="n"/>
      <c r="D29" s="18" t="n"/>
      <c r="E29" s="18" t="n"/>
      <c r="F29" s="18" t="n"/>
      <c r="G29" s="18" t="n"/>
      <c r="H29" s="18" t="n"/>
      <c r="I29" s="18" t="n"/>
      <c r="J29" s="18" t="n"/>
      <c r="K29" s="18" t="n"/>
      <c r="L29" s="18" t="n"/>
      <c r="M29" s="18" t="n"/>
      <c r="N29" s="18" t="n"/>
    </row>
    <row r="30">
      <c r="A30" s="18" t="n"/>
      <c r="B30" s="18" t="n"/>
      <c r="C30" s="18" t="n"/>
      <c r="D30" s="18" t="n"/>
      <c r="E30" s="18" t="n"/>
      <c r="F30" s="18" t="n"/>
      <c r="G30" s="18" t="n"/>
      <c r="H30" s="18" t="n"/>
      <c r="I30" s="18" t="n"/>
      <c r="J30" s="18" t="n"/>
      <c r="K30" s="18" t="n"/>
      <c r="L30" s="18" t="n"/>
      <c r="M30" s="18" t="n"/>
      <c r="N30" s="18" t="n"/>
    </row>
    <row r="31">
      <c r="A31" s="18" t="n"/>
      <c r="B31" s="18" t="n"/>
      <c r="C31" s="18" t="n"/>
      <c r="D31" s="18" t="n"/>
      <c r="E31" s="18" t="n"/>
      <c r="F31" s="18" t="n"/>
      <c r="G31" s="18" t="n"/>
      <c r="H31" s="18" t="n"/>
      <c r="I31" s="18" t="n"/>
      <c r="J31" s="18" t="n"/>
      <c r="K31" s="18" t="n"/>
      <c r="L31" s="18" t="n"/>
      <c r="M31" s="18" t="n"/>
      <c r="N31" s="18" t="n"/>
    </row>
    <row r="32">
      <c r="A32" s="18" t="n"/>
      <c r="B32" s="18" t="n"/>
      <c r="C32" s="18" t="n"/>
      <c r="D32" s="18" t="n"/>
      <c r="E32" s="18" t="n"/>
      <c r="F32" s="18" t="n"/>
      <c r="G32" s="18" t="n"/>
      <c r="H32" s="18" t="n"/>
      <c r="I32" s="18" t="n"/>
      <c r="J32" s="18" t="n"/>
      <c r="K32" s="18" t="n"/>
      <c r="L32" s="18" t="n"/>
      <c r="M32" s="18" t="n"/>
      <c r="N32" s="18" t="n"/>
    </row>
    <row r="33">
      <c r="A33" s="18" t="n"/>
      <c r="B33" s="18" t="n"/>
      <c r="C33" s="18" t="n"/>
      <c r="D33" s="18" t="n"/>
      <c r="E33" s="18" t="n"/>
      <c r="F33" s="18" t="n"/>
      <c r="G33" s="18" t="n"/>
      <c r="H33" s="18" t="n"/>
      <c r="I33" s="18" t="n"/>
      <c r="J33" s="18" t="n"/>
      <c r="K33" s="18" t="n"/>
      <c r="L33" s="18" t="n"/>
      <c r="M33" s="18" t="n"/>
      <c r="N33" s="18" t="n"/>
    </row>
    <row r="34">
      <c r="A34" s="18" t="n"/>
      <c r="B34" s="18" t="inlineStr">
        <is>
          <t>1°</t>
        </is>
      </c>
      <c r="C34" s="139" t="inlineStr">
        <is>
          <t>Esfuerzo Neto del Terreno</t>
        </is>
      </c>
      <c r="G34" s="18" t="n"/>
      <c r="H34" s="18" t="n"/>
      <c r="I34" s="18" t="n"/>
      <c r="J34" s="18" t="n"/>
      <c r="K34" s="18" t="n"/>
      <c r="L34" s="18" t="n"/>
      <c r="M34" s="18" t="n"/>
      <c r="N34" s="18" t="n"/>
    </row>
    <row r="35">
      <c r="A35" s="18" t="n"/>
      <c r="B35" s="18" t="n"/>
      <c r="C35" s="18" t="n"/>
      <c r="D35" s="18" t="n"/>
      <c r="E35" s="18" t="n"/>
      <c r="F35" s="18" t="n"/>
      <c r="G35" s="18" t="n"/>
      <c r="H35" s="18" t="n"/>
      <c r="I35" s="18" t="n"/>
      <c r="J35" s="18" t="n"/>
      <c r="K35" s="18" t="n"/>
      <c r="L35" s="18" t="n"/>
      <c r="M35" s="18" t="n"/>
      <c r="N35" s="18" t="n"/>
    </row>
    <row r="36" ht="15" customHeight="1">
      <c r="A36" s="18" t="n"/>
      <c r="B36" s="18" t="n"/>
      <c r="C36" s="18" t="n"/>
      <c r="D36" s="17" t="inlineStr">
        <is>
          <t>σn  =</t>
        </is>
      </c>
      <c r="E36" s="54">
        <f>ROUND(K8-K7*K4*10^-4-2400*K6*10^-4-K5*10^-4,2)</f>
        <v/>
      </c>
      <c r="F36" s="18" t="inlineStr">
        <is>
          <t>Kg/cm2</t>
        </is>
      </c>
      <c r="G36" s="18" t="n"/>
      <c r="H36" s="18" t="n"/>
      <c r="I36" s="18" t="n"/>
      <c r="J36" s="18" t="n"/>
      <c r="K36" s="18" t="n"/>
      <c r="L36" s="18" t="n"/>
      <c r="M36" s="18" t="n"/>
      <c r="N36" s="18" t="n"/>
    </row>
    <row r="37">
      <c r="A37" s="18" t="n"/>
      <c r="B37" s="18" t="n"/>
      <c r="C37" s="18" t="n"/>
      <c r="D37" s="18" t="n"/>
      <c r="E37" s="18" t="n"/>
      <c r="F37" s="18" t="n"/>
      <c r="G37" s="18" t="n"/>
      <c r="H37" s="18" t="n"/>
      <c r="I37" s="18" t="n"/>
      <c r="J37" s="18" t="n"/>
      <c r="K37" s="18" t="n"/>
      <c r="L37" s="18" t="n"/>
      <c r="M37" s="18" t="n"/>
      <c r="N37" s="18" t="n"/>
    </row>
    <row r="38">
      <c r="A38" s="18" t="n"/>
      <c r="B38" s="18" t="inlineStr">
        <is>
          <t>2°</t>
        </is>
      </c>
      <c r="C38" s="18" t="inlineStr">
        <is>
          <t>Area de la Zapata</t>
        </is>
      </c>
      <c r="D38" s="18" t="n"/>
      <c r="E38" s="18" t="n"/>
      <c r="F38" s="18" t="n"/>
      <c r="G38" s="18" t="n"/>
      <c r="H38" s="18" t="n"/>
      <c r="I38" s="18" t="n"/>
      <c r="J38" s="18" t="n"/>
      <c r="K38" s="18" t="n"/>
      <c r="L38" s="18" t="n"/>
      <c r="M38" s="18" t="n"/>
      <c r="N38" s="18" t="n"/>
    </row>
    <row r="39">
      <c r="A39" s="18" t="n"/>
      <c r="B39" s="18" t="n"/>
      <c r="C39" s="18" t="n"/>
      <c r="D39" s="18" t="n"/>
      <c r="E39" s="18" t="n"/>
      <c r="F39" s="18" t="n"/>
      <c r="G39" s="18" t="n"/>
      <c r="H39" s="18" t="n"/>
      <c r="I39" s="18" t="n"/>
      <c r="J39" s="18" t="n"/>
      <c r="K39" s="18" t="n"/>
      <c r="L39" s="18" t="n"/>
      <c r="M39" s="18" t="n"/>
      <c r="N39" s="18" t="n"/>
    </row>
    <row r="40">
      <c r="A40" s="18" t="n"/>
      <c r="B40" s="18" t="n"/>
      <c r="C40" s="138" t="inlineStr">
        <is>
          <t>Pt  =</t>
        </is>
      </c>
      <c r="D40" s="18">
        <f>SUM(C5:C6,F5:F6)</f>
        <v/>
      </c>
      <c r="E40" s="18" t="inlineStr">
        <is>
          <t>Kg</t>
        </is>
      </c>
      <c r="F40" s="18" t="n"/>
      <c r="G40" s="18" t="n"/>
      <c r="H40" s="18" t="n"/>
      <c r="I40" s="18" t="n"/>
      <c r="J40" s="18" t="n"/>
      <c r="K40" s="18" t="n"/>
      <c r="L40" s="18" t="n"/>
      <c r="M40" s="18" t="n"/>
      <c r="N40" s="18" t="n"/>
    </row>
    <row r="41">
      <c r="A41" s="18" t="n"/>
      <c r="B41" s="18" t="n"/>
      <c r="C41" s="138" t="inlineStr">
        <is>
          <t>Azap  =</t>
        </is>
      </c>
      <c r="D41" s="18">
        <f>D40/E36</f>
        <v/>
      </c>
      <c r="E41" s="18" t="inlineStr">
        <is>
          <t>cm2</t>
        </is>
      </c>
      <c r="F41" s="18" t="n"/>
      <c r="G41" s="18" t="n"/>
      <c r="H41" s="18" t="n"/>
      <c r="I41" s="18" t="n"/>
      <c r="J41" s="18" t="n"/>
      <c r="K41" s="18" t="n"/>
      <c r="L41" s="18" t="n"/>
      <c r="M41" s="18" t="n"/>
      <c r="N41" s="18" t="n"/>
    </row>
    <row r="42">
      <c r="A42" s="18" t="n"/>
      <c r="B42" s="18" t="n"/>
      <c r="C42" s="138" t="inlineStr">
        <is>
          <t>Xo  =</t>
        </is>
      </c>
      <c r="D42" s="54">
        <f>ROUND((SUM(C5:C6)*0.5*C7+SUM(F5:F6)*(F11+C7+0.5*F7))/D40,2)</f>
        <v/>
      </c>
      <c r="E42" s="18" t="inlineStr">
        <is>
          <t>m</t>
        </is>
      </c>
      <c r="F42" s="18" t="n"/>
      <c r="G42" s="18" t="n"/>
      <c r="H42" s="18" t="n"/>
      <c r="I42" s="18" t="n"/>
      <c r="J42" s="18" t="n"/>
      <c r="K42" s="18" t="n"/>
      <c r="L42" s="18" t="n"/>
      <c r="M42" s="18" t="n"/>
      <c r="N42" s="18" t="n"/>
    </row>
    <row r="43">
      <c r="A43" s="18" t="n"/>
      <c r="B43" s="18" t="n"/>
      <c r="C43" s="138" t="inlineStr">
        <is>
          <t>Lz  =</t>
        </is>
      </c>
      <c r="D43" s="54">
        <f>2*D42</f>
        <v/>
      </c>
      <c r="E43" s="18" t="inlineStr">
        <is>
          <t>m</t>
        </is>
      </c>
      <c r="F43" s="19" t="n">
        <v>7.35</v>
      </c>
      <c r="G43" s="18" t="inlineStr">
        <is>
          <t>m</t>
        </is>
      </c>
      <c r="H43" s="18" t="n"/>
      <c r="I43" s="18" t="n"/>
      <c r="J43" s="18" t="n"/>
      <c r="K43" s="18" t="n"/>
      <c r="L43" s="18" t="n"/>
      <c r="M43" s="18" t="n"/>
      <c r="N43" s="18" t="n"/>
    </row>
    <row r="44">
      <c r="A44" s="18" t="n"/>
      <c r="B44" s="18" t="n"/>
      <c r="C44" s="138" t="inlineStr">
        <is>
          <t>lv  =</t>
        </is>
      </c>
      <c r="D44" s="7">
        <f>F43-(C7+F11+F7)</f>
        <v/>
      </c>
      <c r="E44" s="18" t="inlineStr">
        <is>
          <t>m</t>
        </is>
      </c>
      <c r="F44" s="18" t="n"/>
      <c r="G44" s="18" t="n"/>
      <c r="H44" s="18" t="n"/>
      <c r="I44" s="18" t="n"/>
      <c r="J44" s="18" t="n"/>
      <c r="K44" s="18" t="n"/>
      <c r="L44" s="18" t="n"/>
      <c r="M44" s="18" t="n"/>
      <c r="N44" s="18" t="n"/>
    </row>
    <row r="45">
      <c r="A45" s="18" t="n"/>
      <c r="B45" s="18" t="n"/>
      <c r="C45" s="138" t="inlineStr">
        <is>
          <t>b  =</t>
        </is>
      </c>
      <c r="D45" s="54">
        <f>D41/(F43*100)</f>
        <v/>
      </c>
      <c r="E45" s="18" t="inlineStr">
        <is>
          <t>cm</t>
        </is>
      </c>
      <c r="F45" s="19" t="n">
        <v>240</v>
      </c>
      <c r="G45" s="18" t="inlineStr">
        <is>
          <t>cm</t>
        </is>
      </c>
      <c r="H45" s="18" t="n"/>
      <c r="I45" s="18" t="n"/>
      <c r="J45" s="18" t="n"/>
      <c r="K45" s="18" t="n"/>
      <c r="L45" s="18" t="n"/>
      <c r="M45" s="18" t="n"/>
      <c r="N45" s="18" t="n"/>
    </row>
    <row r="46">
      <c r="A46" s="18" t="n"/>
      <c r="B46" s="18" t="n"/>
      <c r="C46" s="18" t="n"/>
      <c r="D46" s="18" t="n"/>
      <c r="E46" s="18" t="n"/>
      <c r="F46" s="18" t="n"/>
      <c r="G46" s="18" t="n"/>
      <c r="H46" s="18" t="n"/>
      <c r="I46" s="18" t="n"/>
      <c r="J46" s="18" t="n"/>
      <c r="K46" s="18" t="n"/>
      <c r="L46" s="18" t="n"/>
      <c r="M46" s="18" t="n"/>
      <c r="N46" s="18" t="n"/>
    </row>
    <row r="47">
      <c r="A47" s="18" t="n"/>
      <c r="B47" s="18" t="n"/>
      <c r="C47" s="18" t="n"/>
      <c r="D47" s="18" t="n"/>
      <c r="E47" s="18" t="n"/>
      <c r="F47" s="18" t="n"/>
      <c r="G47" s="18" t="n"/>
      <c r="H47" s="18" t="n"/>
      <c r="I47" s="18" t="n"/>
      <c r="J47" s="18" t="n"/>
      <c r="K47" s="18" t="n"/>
      <c r="L47" s="18" t="n"/>
      <c r="M47" s="18" t="n"/>
      <c r="N47" s="18" t="n"/>
    </row>
    <row r="48">
      <c r="A48" s="18" t="n"/>
      <c r="B48" s="18" t="inlineStr">
        <is>
          <t>3°</t>
        </is>
      </c>
      <c r="C48" s="139" t="inlineStr">
        <is>
          <t>Reacción Neta del Terreno</t>
        </is>
      </c>
      <c r="G48" s="18" t="n"/>
      <c r="H48" s="18" t="n"/>
      <c r="I48" s="18" t="n"/>
      <c r="J48" s="18" t="n"/>
      <c r="K48" s="18" t="n"/>
      <c r="L48" s="18" t="n"/>
      <c r="M48" s="18" t="n"/>
      <c r="N48" s="18" t="n"/>
    </row>
    <row r="49">
      <c r="A49" s="18" t="n"/>
      <c r="B49" s="18" t="n"/>
      <c r="C49" s="18" t="n"/>
      <c r="D49" s="18" t="n"/>
      <c r="E49" s="18" t="n"/>
      <c r="F49" s="18" t="n"/>
      <c r="G49" s="18" t="n"/>
      <c r="H49" s="18" t="n"/>
      <c r="I49" s="18" t="n"/>
      <c r="J49" s="18" t="n"/>
      <c r="K49" s="18" t="n"/>
      <c r="L49" s="18" t="n"/>
      <c r="M49" s="18" t="n"/>
      <c r="N49" s="18" t="n"/>
    </row>
    <row r="50">
      <c r="A50" s="18" t="n"/>
      <c r="B50" s="18" t="n"/>
      <c r="C50" s="30" t="inlineStr">
        <is>
          <t>● Por Unidad de Longitud</t>
        </is>
      </c>
      <c r="D50" s="18" t="n"/>
      <c r="E50" s="18" t="n"/>
      <c r="F50" s="18" t="n"/>
      <c r="G50" s="18" t="n"/>
      <c r="H50" s="30" t="inlineStr">
        <is>
          <t>● Por Unidad de Area</t>
        </is>
      </c>
      <c r="I50" s="18" t="n"/>
      <c r="J50" s="18" t="n"/>
      <c r="K50" s="18" t="n"/>
      <c r="L50" s="18" t="n"/>
      <c r="M50" s="18" t="n"/>
      <c r="N50" s="18" t="n"/>
    </row>
    <row r="51">
      <c r="A51" s="18" t="n"/>
      <c r="B51" s="18" t="n"/>
      <c r="C51" s="18" t="n"/>
      <c r="D51" s="18" t="n"/>
      <c r="E51" s="18" t="n"/>
      <c r="F51" s="18" t="n"/>
      <c r="G51" s="18" t="n"/>
      <c r="H51" s="18" t="n"/>
      <c r="I51" s="18" t="n"/>
      <c r="J51" s="18" t="n"/>
      <c r="K51" s="18" t="n"/>
      <c r="L51" s="18" t="n"/>
      <c r="M51" s="18" t="n"/>
      <c r="N51" s="18" t="n"/>
    </row>
    <row r="52">
      <c r="A52" s="18" t="n"/>
      <c r="B52" s="18" t="n"/>
      <c r="C52" s="138" t="inlineStr">
        <is>
          <t>P1u  =</t>
        </is>
      </c>
      <c r="D52" s="54">
        <f>HLOOKUP(E2,Parametros!B8:C10,2,FALSE)*C5+HLOOKUP(E2,Parametros!B8:C10,3,FALSE)*C6</f>
        <v/>
      </c>
      <c r="E52" s="18" t="inlineStr">
        <is>
          <t>Kg</t>
        </is>
      </c>
      <c r="F52" s="18" t="n"/>
      <c r="G52" s="18" t="n"/>
      <c r="H52" s="138" t="inlineStr">
        <is>
          <t>WNU  =</t>
        </is>
      </c>
      <c r="I52" s="54">
        <f>D54</f>
        <v/>
      </c>
      <c r="J52" s="18" t="inlineStr">
        <is>
          <t>Kg/m</t>
        </is>
      </c>
      <c r="K52" s="18" t="n"/>
      <c r="L52" s="18" t="n"/>
      <c r="M52" s="18" t="n"/>
      <c r="N52" s="18" t="n"/>
    </row>
    <row r="53">
      <c r="A53" s="18" t="n"/>
      <c r="B53" s="18" t="n"/>
      <c r="C53" s="138" t="inlineStr">
        <is>
          <t>P2u  =</t>
        </is>
      </c>
      <c r="D53" s="54">
        <f>HLOOKUP(E2,Parametros!B8:C10,2,FALSE)*F5+HLOOKUP(E2,Parametros!B8:C10,3,FALSE)*F6</f>
        <v/>
      </c>
      <c r="E53" s="18" t="inlineStr">
        <is>
          <t>Kg</t>
        </is>
      </c>
      <c r="F53" s="18" t="n"/>
      <c r="G53" s="18" t="n"/>
      <c r="H53" s="138" t="inlineStr">
        <is>
          <t>b  =</t>
        </is>
      </c>
      <c r="I53" s="54">
        <f>F45</f>
        <v/>
      </c>
      <c r="J53" s="18" t="inlineStr">
        <is>
          <t>cm</t>
        </is>
      </c>
      <c r="K53" s="18" t="n"/>
      <c r="L53" s="18" t="n"/>
      <c r="M53" s="18" t="n"/>
      <c r="N53" s="18" t="n"/>
    </row>
    <row r="54">
      <c r="A54" s="18" t="n"/>
      <c r="B54" s="18" t="n"/>
      <c r="C54" s="138" t="inlineStr">
        <is>
          <t>WNU  =</t>
        </is>
      </c>
      <c r="D54" s="54">
        <f>SUM(D52:D53)/F43</f>
        <v/>
      </c>
      <c r="E54" s="18" t="inlineStr">
        <is>
          <t>Kg/m</t>
        </is>
      </c>
      <c r="F54" s="18" t="n"/>
      <c r="G54" s="18" t="n"/>
      <c r="H54" s="18" t="inlineStr">
        <is>
          <t>Wnu  =</t>
        </is>
      </c>
      <c r="I54" s="54">
        <f>ROUND(I52/I53/100,2)</f>
        <v/>
      </c>
      <c r="J54" s="18" t="inlineStr">
        <is>
          <t>Kg/cm2</t>
        </is>
      </c>
      <c r="K54" s="18" t="n"/>
      <c r="L54" s="18" t="n"/>
      <c r="M54" s="18" t="n"/>
      <c r="N54" s="18" t="n"/>
    </row>
    <row r="55">
      <c r="A55" s="18" t="n"/>
      <c r="B55" s="18" t="n"/>
      <c r="C55" s="18" t="n"/>
      <c r="D55" s="18" t="n"/>
      <c r="E55" s="18" t="n"/>
      <c r="F55" s="18" t="n"/>
      <c r="G55" s="18" t="n"/>
      <c r="H55" s="18" t="n"/>
      <c r="I55" s="18" t="n"/>
      <c r="J55" s="18" t="n"/>
      <c r="K55" s="18" t="n"/>
      <c r="L55" s="18" t="n"/>
      <c r="M55" s="18" t="n"/>
      <c r="N55" s="18" t="n"/>
    </row>
    <row r="56">
      <c r="A56" s="18" t="n"/>
      <c r="B56" s="18" t="n"/>
      <c r="C56" s="18" t="n"/>
      <c r="D56" s="18" t="n"/>
      <c r="E56" s="18" t="n"/>
      <c r="F56" s="18" t="n"/>
      <c r="G56" s="18" t="n"/>
      <c r="H56" s="18" t="n"/>
      <c r="I56" s="18" t="n"/>
      <c r="J56" s="18" t="n"/>
      <c r="K56" s="18" t="n"/>
      <c r="L56" s="18" t="n"/>
      <c r="M56" s="18" t="n"/>
      <c r="N56" s="18" t="n"/>
    </row>
    <row r="57">
      <c r="A57" s="18" t="n"/>
      <c r="B57" s="18" t="n"/>
      <c r="C57" s="18" t="n"/>
      <c r="D57" s="18" t="n"/>
      <c r="E57" s="18" t="n"/>
      <c r="F57" s="18" t="n"/>
      <c r="G57" s="18" t="n"/>
      <c r="H57" s="18" t="n"/>
      <c r="I57" s="18" t="n"/>
      <c r="J57" s="18" t="n"/>
      <c r="K57" s="18" t="n"/>
      <c r="L57" s="18" t="n"/>
      <c r="M57" s="18" t="n"/>
      <c r="N57" s="18" t="n"/>
    </row>
    <row r="58">
      <c r="A58" s="18" t="n"/>
      <c r="B58" s="18" t="n"/>
      <c r="C58" s="18" t="n"/>
      <c r="D58" s="18" t="n"/>
      <c r="E58" s="18" t="n"/>
      <c r="F58" s="18" t="n"/>
      <c r="G58" s="18" t="n"/>
      <c r="H58" s="18" t="n"/>
      <c r="I58" s="18" t="n"/>
      <c r="J58" s="18" t="n"/>
      <c r="K58" s="18" t="n"/>
      <c r="L58" s="18" t="n"/>
      <c r="M58" s="18" t="n"/>
      <c r="N58" s="18" t="n"/>
    </row>
    <row r="59">
      <c r="A59" s="18" t="n"/>
      <c r="B59" s="18" t="n"/>
      <c r="C59" s="18" t="n"/>
      <c r="D59" s="18" t="n"/>
      <c r="E59" s="18" t="n"/>
      <c r="F59" s="18" t="n"/>
      <c r="G59" s="18" t="n"/>
      <c r="H59" s="18" t="n"/>
      <c r="I59" s="18" t="n"/>
      <c r="J59" s="18" t="n"/>
      <c r="K59" s="18" t="n"/>
      <c r="L59" s="18" t="n"/>
      <c r="M59" s="18" t="n"/>
      <c r="N59" s="18" t="n"/>
    </row>
    <row r="60">
      <c r="A60" s="18" t="n"/>
      <c r="B60" s="18" t="n"/>
      <c r="C60" s="18" t="n"/>
      <c r="D60" s="18" t="n"/>
      <c r="E60" s="18" t="n"/>
      <c r="F60" s="18" t="n"/>
      <c r="G60" s="18" t="n"/>
      <c r="H60" s="18" t="n"/>
      <c r="I60" s="18" t="n"/>
      <c r="J60" s="18" t="n"/>
      <c r="K60" s="18" t="n"/>
      <c r="L60" s="18" t="n"/>
      <c r="M60" s="18" t="n"/>
      <c r="N60" s="18" t="n"/>
    </row>
    <row r="61">
      <c r="A61" s="18" t="n"/>
      <c r="B61" s="18" t="inlineStr">
        <is>
          <t>3°</t>
        </is>
      </c>
      <c r="C61" s="18" t="inlineStr">
        <is>
          <t>Dimensionamiento de la Altura hz de la Zapata</t>
        </is>
      </c>
      <c r="D61" s="18" t="n"/>
      <c r="E61" s="18" t="n"/>
      <c r="F61" s="18" t="n"/>
      <c r="G61" s="18" t="n"/>
      <c r="H61" s="18" t="n"/>
      <c r="I61" s="18" t="n"/>
      <c r="J61" s="18" t="n"/>
      <c r="K61" s="18" t="n"/>
      <c r="L61" s="18" t="n"/>
      <c r="M61" s="18" t="n"/>
      <c r="N61" s="18" t="n"/>
    </row>
    <row r="62">
      <c r="A62" s="18" t="n"/>
      <c r="B62" s="18" t="n"/>
      <c r="C62" s="18" t="n"/>
      <c r="D62" s="18" t="n"/>
      <c r="E62" s="18" t="n"/>
      <c r="F62" s="18" t="n"/>
      <c r="G62" s="18" t="n"/>
      <c r="H62" s="18" t="n"/>
      <c r="I62" s="18" t="n"/>
      <c r="J62" s="18" t="n"/>
      <c r="K62" s="18" t="n"/>
      <c r="L62" s="18" t="n"/>
      <c r="M62" s="18" t="n"/>
      <c r="N62" s="18" t="n"/>
    </row>
    <row r="63">
      <c r="A63" s="18" t="n"/>
      <c r="B63" s="18" t="n"/>
      <c r="C63" s="18" t="inlineStr">
        <is>
          <t>Para una Cuantía ρ  =</t>
        </is>
      </c>
      <c r="D63" s="18" t="n"/>
      <c r="E63" s="18" t="n"/>
      <c r="F63" s="19" t="n">
        <v>0.0036</v>
      </c>
      <c r="G63" s="18" t="n"/>
      <c r="H63" s="20" t="inlineStr">
        <is>
          <t>φ  =</t>
        </is>
      </c>
      <c r="I63" s="21">
        <f>HLOOKUP(E2,Parametros!B2:C5,2,FALSE)</f>
        <v/>
      </c>
      <c r="J63" s="18" t="n"/>
      <c r="K63" s="18" t="n"/>
      <c r="L63" s="18" t="n"/>
      <c r="M63" s="18" t="n"/>
      <c r="N63" s="18" t="n"/>
    </row>
    <row r="64">
      <c r="A64" s="18" t="n"/>
      <c r="B64" s="18" t="n"/>
      <c r="C64" s="18" t="n"/>
      <c r="D64" s="18" t="n"/>
      <c r="E64" s="18" t="inlineStr">
        <is>
          <t>ρmin  =</t>
        </is>
      </c>
      <c r="F64" s="18" t="n">
        <v>0.0018</v>
      </c>
      <c r="G64" s="18" t="n"/>
      <c r="H64" s="18" t="n"/>
      <c r="I64" s="18" t="n"/>
      <c r="J64" s="18" t="n"/>
      <c r="K64" s="18" t="n"/>
      <c r="L64" s="18" t="n"/>
      <c r="M64" s="18" t="n"/>
      <c r="N64" s="18" t="n"/>
    </row>
    <row r="65">
      <c r="A65" s="18" t="n"/>
      <c r="B65" s="18" t="n"/>
      <c r="C65" s="18" t="n"/>
      <c r="D65" s="18" t="n"/>
      <c r="E65" s="18" t="n"/>
      <c r="F65" s="18" t="n"/>
      <c r="G65" s="18" t="n"/>
      <c r="H65" s="18" t="n"/>
      <c r="I65" s="18" t="n"/>
      <c r="J65" s="18" t="n"/>
      <c r="K65" s="18" t="n"/>
      <c r="L65" s="18" t="n"/>
      <c r="M65" s="18" t="n"/>
      <c r="N65" s="18" t="n"/>
    </row>
    <row r="66">
      <c r="A66" s="18" t="n"/>
      <c r="B66" s="18" t="n"/>
      <c r="C66" s="18" t="n"/>
      <c r="D66" s="18" t="n"/>
      <c r="E66" s="18" t="n"/>
      <c r="F66" s="18" t="n"/>
      <c r="G66" s="18" t="n"/>
      <c r="H66" s="18" t="n"/>
      <c r="I66" s="18" t="n"/>
      <c r="J66" s="18" t="n"/>
      <c r="K66" s="18" t="n"/>
      <c r="L66" s="18" t="n"/>
      <c r="M66" s="18" t="n"/>
      <c r="N66" s="18" t="n"/>
    </row>
    <row r="67">
      <c r="A67" s="18" t="n"/>
      <c r="B67" s="18" t="n"/>
      <c r="C67" s="18" t="n"/>
      <c r="D67" s="18" t="n"/>
      <c r="E67" s="18" t="n"/>
      <c r="F67" s="18" t="n"/>
      <c r="G67" s="18" t="n"/>
      <c r="H67" s="18" t="n"/>
      <c r="I67" s="18" t="n"/>
      <c r="J67" s="18" t="n"/>
      <c r="K67" s="18" t="n"/>
      <c r="L67" s="18" t="n"/>
      <c r="M67" s="18" t="n"/>
      <c r="N67" s="18" t="n"/>
    </row>
    <row r="68">
      <c r="A68" s="18" t="n"/>
      <c r="B68" s="18" t="n"/>
      <c r="C68" s="18" t="n"/>
      <c r="D68" s="18" t="n"/>
      <c r="E68" s="18" t="n"/>
      <c r="F68" s="18" t="n"/>
      <c r="G68" s="18" t="n"/>
      <c r="H68" s="18" t="n"/>
      <c r="I68" s="18" t="n"/>
      <c r="J68" s="18" t="n"/>
      <c r="K68" s="18" t="n"/>
      <c r="L68" s="18" t="n"/>
      <c r="M68" s="18" t="n"/>
      <c r="N68" s="18" t="n"/>
    </row>
    <row r="69">
      <c r="A69" s="18" t="n"/>
      <c r="B69" s="18" t="n"/>
      <c r="C69" s="18" t="n"/>
      <c r="D69" s="18" t="n"/>
      <c r="E69" s="18" t="n"/>
      <c r="F69" s="18" t="n"/>
      <c r="G69" s="18" t="n"/>
      <c r="H69" s="18" t="n"/>
      <c r="I69" s="18" t="n"/>
      <c r="J69" s="18" t="n"/>
      <c r="K69" s="18" t="n"/>
      <c r="L69" s="18" t="n"/>
      <c r="M69" s="18" t="n"/>
      <c r="N69" s="18" t="n"/>
    </row>
    <row r="70">
      <c r="A70" s="18" t="n"/>
      <c r="B70" s="18" t="n"/>
      <c r="C70" s="18" t="n"/>
      <c r="D70" s="18" t="n"/>
      <c r="E70" s="18" t="n"/>
      <c r="F70" s="18" t="n"/>
      <c r="G70" s="18" t="n"/>
      <c r="H70" s="18" t="n"/>
      <c r="I70" s="18" t="n"/>
      <c r="J70" s="18" t="n"/>
      <c r="K70" s="18" t="n"/>
      <c r="L70" s="18" t="n"/>
      <c r="M70" s="18" t="n"/>
      <c r="N70" s="18" t="n"/>
    </row>
    <row r="71">
      <c r="A71" s="18" t="n"/>
      <c r="B71" s="18" t="n"/>
      <c r="C71" s="18" t="n"/>
      <c r="D71" s="18" t="n"/>
      <c r="E71" s="18" t="n"/>
      <c r="F71" s="18" t="n"/>
      <c r="G71" s="18" t="n"/>
      <c r="H71" s="18" t="n"/>
      <c r="I71" s="18" t="n"/>
      <c r="J71" s="18" t="n"/>
      <c r="K71" s="18" t="n"/>
      <c r="L71" s="18" t="n"/>
      <c r="M71" s="18" t="n"/>
      <c r="N71" s="18" t="n"/>
    </row>
    <row r="72">
      <c r="A72" s="18" t="n"/>
      <c r="B72" s="18" t="n"/>
      <c r="C72" s="18" t="n"/>
      <c r="D72" s="18" t="n"/>
      <c r="E72" s="18" t="n"/>
      <c r="F72" s="18" t="n"/>
      <c r="G72" s="18" t="n"/>
      <c r="H72" s="18" t="n"/>
      <c r="I72" s="18" t="n"/>
      <c r="J72" s="18" t="n"/>
      <c r="K72" s="18" t="n"/>
      <c r="L72" s="18" t="n"/>
      <c r="M72" s="18" t="n"/>
      <c r="N72" s="18" t="n"/>
    </row>
    <row r="73">
      <c r="A73" s="18" t="n"/>
      <c r="B73" s="18" t="n"/>
      <c r="C73" s="18" t="n"/>
      <c r="D73" s="18" t="n"/>
      <c r="E73" s="18" t="n"/>
      <c r="F73" s="18" t="n"/>
      <c r="G73" s="18" t="n"/>
      <c r="H73" s="18" t="n"/>
      <c r="I73" s="18" t="n"/>
      <c r="J73" s="18" t="n"/>
      <c r="K73" s="18" t="n"/>
      <c r="L73" s="18" t="n"/>
      <c r="M73" s="18" t="n"/>
      <c r="N73" s="18" t="n"/>
    </row>
    <row r="74">
      <c r="A74" s="18" t="n"/>
      <c r="B74" s="18" t="n"/>
      <c r="C74" s="18" t="n"/>
      <c r="D74" s="18" t="n"/>
      <c r="E74" s="18" t="n"/>
      <c r="F74" s="18" t="n"/>
      <c r="G74" s="18" t="n"/>
      <c r="H74" s="18" t="n"/>
      <c r="I74" s="18" t="n"/>
      <c r="J74" s="18" t="n"/>
      <c r="K74" s="18" t="n"/>
      <c r="L74" s="18" t="n"/>
      <c r="M74" s="18" t="n"/>
      <c r="N74" s="18" t="n"/>
    </row>
    <row r="75">
      <c r="A75" s="18" t="n"/>
      <c r="B75" s="18" t="n"/>
      <c r="C75" s="18" t="n"/>
      <c r="D75" s="18" t="n"/>
      <c r="E75" s="18" t="n"/>
      <c r="F75" s="18" t="n"/>
      <c r="G75" s="18" t="n"/>
      <c r="H75" s="18" t="n"/>
      <c r="I75" s="18" t="n"/>
      <c r="J75" s="18" t="n"/>
      <c r="K75" s="18" t="n"/>
      <c r="L75" s="18" t="n"/>
      <c r="M75" s="18" t="n"/>
      <c r="N75" s="18" t="n"/>
    </row>
    <row r="76">
      <c r="A76" s="18" t="n"/>
      <c r="B76" s="18" t="n"/>
      <c r="C76" s="18" t="n"/>
      <c r="D76" s="18" t="n"/>
      <c r="E76" s="18" t="n"/>
      <c r="F76" s="18" t="n"/>
      <c r="G76" s="18" t="n"/>
      <c r="H76" s="18" t="n"/>
      <c r="I76" s="18" t="n"/>
      <c r="J76" s="18" t="n"/>
      <c r="K76" s="18" t="n"/>
      <c r="L76" s="18" t="n"/>
      <c r="M76" s="18" t="n"/>
      <c r="N76" s="18" t="n"/>
    </row>
    <row r="77" ht="15" customHeight="1">
      <c r="A77" s="18" t="n"/>
      <c r="B77" s="18" t="n"/>
      <c r="C77" s="18" t="n"/>
      <c r="D77" s="18" t="n"/>
      <c r="E77" s="18" t="n"/>
      <c r="F77" s="18" t="n"/>
      <c r="G77" s="18" t="n"/>
      <c r="H77" s="18" t="n"/>
      <c r="I77" s="138" t="inlineStr">
        <is>
          <t>Xo  =</t>
        </is>
      </c>
      <c r="J77" s="54">
        <f>ROUND(D52/D54,3)</f>
        <v/>
      </c>
      <c r="K77" s="18" t="inlineStr">
        <is>
          <t>m</t>
        </is>
      </c>
      <c r="L77" s="18" t="n"/>
      <c r="M77" s="18" t="n"/>
      <c r="N77" s="18" t="n"/>
    </row>
    <row r="78">
      <c r="A78" s="18" t="n"/>
      <c r="B78" s="18" t="n"/>
      <c r="C78" s="18" t="n"/>
      <c r="D78" s="18" t="n"/>
      <c r="E78" s="18" t="n"/>
      <c r="F78" s="18" t="n"/>
      <c r="G78" s="18" t="n"/>
      <c r="H78" s="138" t="inlineStr">
        <is>
          <t>Mmáx  =</t>
        </is>
      </c>
      <c r="J78" s="54">
        <f>D54*0.5*J77^2-D52*(J77-0.5*C7)</f>
        <v/>
      </c>
      <c r="K78" s="18" t="inlineStr">
        <is>
          <t>Kg-m</t>
        </is>
      </c>
      <c r="L78" s="18" t="n"/>
      <c r="M78" s="18" t="n"/>
      <c r="N78" s="18" t="n"/>
    </row>
    <row r="79" ht="15" customHeight="1">
      <c r="A79" s="18" t="n"/>
      <c r="B79" s="18" t="n"/>
      <c r="C79" s="18" t="n"/>
      <c r="D79" s="18" t="n"/>
      <c r="E79" s="18" t="n"/>
      <c r="F79" s="18" t="n"/>
      <c r="G79" s="18" t="n"/>
      <c r="H79" s="18" t="n"/>
      <c r="I79" s="138" t="inlineStr">
        <is>
          <t>d  =</t>
        </is>
      </c>
      <c r="J79" s="54">
        <f>ROUND(SQRT(ABS(J78)*100/(I63*F63*F45*K10*(1-0.59*F63*K10/K9))),2)</f>
        <v/>
      </c>
      <c r="K79" s="18" t="inlineStr">
        <is>
          <t>cm</t>
        </is>
      </c>
      <c r="L79" s="18" t="n"/>
      <c r="M79" s="18" t="n"/>
      <c r="N79" s="18" t="n"/>
    </row>
    <row r="80">
      <c r="A80" s="18" t="n"/>
      <c r="B80" s="18" t="n"/>
      <c r="C80" s="18" t="n"/>
      <c r="D80" s="18" t="n"/>
      <c r="E80" s="18" t="n"/>
      <c r="F80" s="18" t="n"/>
      <c r="G80" s="18" t="n"/>
      <c r="H80" s="18" t="n"/>
      <c r="I80" s="138" t="inlineStr">
        <is>
          <t>hz  =</t>
        </is>
      </c>
      <c r="J80" s="54">
        <f>J79+F85+VLOOKUP(F86,Parametros!E2:G6,2,FALSE)</f>
        <v/>
      </c>
      <c r="K80" s="18" t="inlineStr">
        <is>
          <t>cm</t>
        </is>
      </c>
      <c r="L80" s="22" t="inlineStr">
        <is>
          <t>hz  =</t>
        </is>
      </c>
      <c r="M80" s="19" t="n">
        <v>85</v>
      </c>
      <c r="N80" s="19" t="inlineStr">
        <is>
          <t>cm</t>
        </is>
      </c>
    </row>
    <row r="81">
      <c r="A81" s="18" t="n"/>
      <c r="B81" s="18" t="n"/>
      <c r="C81" s="18" t="n"/>
      <c r="D81" s="18" t="n"/>
      <c r="E81" s="18" t="n"/>
      <c r="F81" s="18" t="n"/>
      <c r="G81" s="18" t="n"/>
      <c r="H81" s="18" t="n"/>
      <c r="I81" s="18" t="n"/>
      <c r="J81" s="18" t="n"/>
      <c r="K81" s="18" t="n"/>
      <c r="L81" s="18" t="n"/>
      <c r="M81" s="18" t="n"/>
      <c r="N81" s="18" t="n"/>
    </row>
    <row r="82">
      <c r="A82" s="18" t="n"/>
      <c r="B82" s="18" t="n"/>
      <c r="C82" s="18" t="n"/>
      <c r="D82" s="18" t="n"/>
      <c r="E82" s="18" t="n"/>
      <c r="F82" s="18" t="n"/>
      <c r="G82" s="18" t="n"/>
      <c r="H82" s="18" t="n"/>
      <c r="I82" s="18" t="n"/>
      <c r="J82" s="18" t="n"/>
      <c r="K82" s="18" t="n"/>
      <c r="L82" s="18" t="n"/>
      <c r="M82" s="18" t="n"/>
      <c r="N82" s="18" t="n"/>
    </row>
    <row r="83">
      <c r="A83" s="18" t="n"/>
      <c r="B83" s="18" t="n"/>
      <c r="C83" s="18" t="n"/>
      <c r="D83" s="18" t="n"/>
      <c r="E83" s="18" t="n"/>
      <c r="F83" s="18" t="n"/>
      <c r="G83" s="18" t="n"/>
      <c r="H83" s="18" t="n"/>
      <c r="I83" s="18" t="n"/>
      <c r="J83" s="18" t="n"/>
      <c r="K83" s="18" t="n"/>
      <c r="L83" s="18" t="n"/>
      <c r="M83" s="18" t="n"/>
      <c r="N83" s="18" t="n"/>
    </row>
    <row r="84" ht="15" customHeight="1">
      <c r="A84" s="18" t="n"/>
      <c r="B84" s="18" t="n"/>
      <c r="C84" s="137" t="inlineStr">
        <is>
          <t>Peralte Efectivo en Tramo Interior</t>
        </is>
      </c>
      <c r="H84" s="18" t="n"/>
      <c r="I84" s="18" t="n"/>
      <c r="J84" s="18" t="n"/>
      <c r="K84" s="18" t="n"/>
      <c r="L84" s="18" t="n"/>
      <c r="M84" s="18" t="n"/>
      <c r="N84" s="18" t="n"/>
    </row>
    <row r="85">
      <c r="A85" s="18" t="n"/>
      <c r="B85" s="18" t="n"/>
      <c r="C85" s="18" t="inlineStr">
        <is>
          <t>Recubrimiento          r =</t>
        </is>
      </c>
      <c r="D85" s="18" t="n"/>
      <c r="E85" s="18" t="n"/>
      <c r="F85" s="54" t="n">
        <v>5</v>
      </c>
      <c r="G85" s="18" t="inlineStr">
        <is>
          <t>cm</t>
        </is>
      </c>
      <c r="H85" s="18" t="n"/>
      <c r="I85" s="23" t="inlineStr">
        <is>
          <t>d  =</t>
        </is>
      </c>
      <c r="J85" s="24">
        <f>M80-(F85+VLOOKUP(F86,Parametros!E2:G6,2,FALSE)/2)</f>
        <v/>
      </c>
      <c r="K85" s="25" t="inlineStr">
        <is>
          <t>cm</t>
        </is>
      </c>
      <c r="L85" s="18" t="inlineStr">
        <is>
          <t>Interior</t>
        </is>
      </c>
      <c r="M85" s="18" t="n"/>
      <c r="N85" s="18" t="n"/>
    </row>
    <row r="86">
      <c r="A86" s="18" t="n"/>
      <c r="B86" s="18" t="n"/>
      <c r="C86" s="18" t="inlineStr">
        <is>
          <t>Varillas a Usar</t>
        </is>
      </c>
      <c r="D86" s="18" t="n"/>
      <c r="E86" s="138" t="inlineStr">
        <is>
          <t>φ:</t>
        </is>
      </c>
      <c r="F86" s="54" t="inlineStr">
        <is>
          <t>1"</t>
        </is>
      </c>
      <c r="G86" s="18" t="inlineStr">
        <is>
          <t>Interior</t>
        </is>
      </c>
      <c r="H86" s="18" t="n"/>
      <c r="I86" s="18" t="n"/>
      <c r="J86" s="18" t="n"/>
      <c r="K86" s="18" t="n"/>
      <c r="L86" s="18" t="n"/>
      <c r="M86" s="18" t="n"/>
      <c r="N86" s="18" t="n"/>
    </row>
    <row r="87">
      <c r="A87" s="18" t="n"/>
      <c r="B87" s="18" t="n"/>
      <c r="C87" s="137" t="inlineStr">
        <is>
          <t>Peralte Efectivo en Voladizo</t>
        </is>
      </c>
      <c r="H87" s="18" t="n"/>
      <c r="I87" s="18" t="n"/>
      <c r="J87" s="18" t="n"/>
      <c r="K87" s="18" t="n"/>
      <c r="L87" s="18" t="n"/>
      <c r="M87" s="18" t="n"/>
      <c r="N87" s="18" t="n"/>
    </row>
    <row r="88">
      <c r="A88" s="18" t="n"/>
      <c r="B88" s="18" t="n"/>
      <c r="C88" s="18" t="inlineStr">
        <is>
          <t>Recubrimiento          r =</t>
        </is>
      </c>
      <c r="D88" s="18" t="n"/>
      <c r="E88" s="18" t="n"/>
      <c r="F88" s="54" t="n">
        <v>7.5</v>
      </c>
      <c r="G88" s="18" t="inlineStr">
        <is>
          <t>cm</t>
        </is>
      </c>
      <c r="H88" s="18" t="n"/>
      <c r="I88" s="18" t="n"/>
      <c r="J88" s="18" t="n"/>
      <c r="K88" s="18" t="n"/>
      <c r="L88" s="18" t="n"/>
      <c r="M88" s="18" t="n"/>
      <c r="N88" s="18" t="n"/>
    </row>
    <row r="89">
      <c r="A89" s="18" t="n"/>
      <c r="B89" s="18" t="n"/>
      <c r="C89" s="18" t="inlineStr">
        <is>
          <t>Varillas a Usar</t>
        </is>
      </c>
      <c r="D89" s="18" t="n"/>
      <c r="E89" s="138" t="inlineStr">
        <is>
          <t>φ:</t>
        </is>
      </c>
      <c r="F89" s="54" t="inlineStr">
        <is>
          <t>3/4"</t>
        </is>
      </c>
      <c r="G89" s="18" t="inlineStr">
        <is>
          <t>Voladizo</t>
        </is>
      </c>
      <c r="H89" s="18" t="n"/>
      <c r="I89" s="23" t="inlineStr">
        <is>
          <t>d  =</t>
        </is>
      </c>
      <c r="J89" s="24">
        <f>ROUND(M80-(F88+VLOOKUP(F89,Parametros!E2:G6,2,FALSE)/2),2)</f>
        <v/>
      </c>
      <c r="K89" s="25" t="inlineStr">
        <is>
          <t>cm</t>
        </is>
      </c>
      <c r="L89" s="18" t="inlineStr">
        <is>
          <t>Voladizo</t>
        </is>
      </c>
      <c r="M89" s="18" t="n"/>
      <c r="N89" s="18" t="n"/>
    </row>
    <row r="90">
      <c r="A90" s="18" t="n"/>
      <c r="B90" s="18" t="n"/>
      <c r="C90" s="18" t="n"/>
      <c r="D90" s="18" t="n"/>
      <c r="E90" s="18" t="n"/>
      <c r="F90" s="18" t="n"/>
      <c r="G90" s="18" t="n"/>
      <c r="H90" s="18" t="n"/>
      <c r="I90" s="18" t="n"/>
      <c r="J90" s="18" t="n"/>
      <c r="K90" s="18" t="n"/>
      <c r="L90" s="18" t="n"/>
      <c r="M90" s="18" t="n"/>
      <c r="N90" s="18" t="n"/>
    </row>
    <row r="91">
      <c r="A91" s="18" t="n"/>
      <c r="B91" s="18" t="n"/>
      <c r="C91" s="18" t="n"/>
      <c r="D91" s="18" t="n"/>
      <c r="E91" s="18" t="n"/>
      <c r="F91" s="18" t="n"/>
      <c r="G91" s="18" t="n"/>
      <c r="H91" s="18" t="n"/>
      <c r="I91" s="18" t="n"/>
      <c r="J91" s="18" t="n"/>
      <c r="K91" s="18" t="n"/>
      <c r="L91" s="18" t="n"/>
      <c r="M91" s="18" t="n"/>
      <c r="N91" s="18" t="n"/>
    </row>
    <row r="92">
      <c r="A92" s="18" t="n"/>
      <c r="B92" s="18" t="n"/>
      <c r="C92" s="18" t="n"/>
      <c r="D92" s="18" t="n"/>
      <c r="E92" s="18" t="n"/>
      <c r="F92" s="18" t="n"/>
      <c r="G92" s="18" t="n"/>
      <c r="H92" s="18" t="n"/>
      <c r="I92" s="18" t="n"/>
      <c r="J92" s="18" t="n"/>
      <c r="K92" s="18" t="n"/>
      <c r="L92" s="18" t="n"/>
      <c r="M92" s="18" t="n"/>
      <c r="N92" s="18" t="n"/>
    </row>
    <row r="93">
      <c r="A93" s="18" t="n"/>
      <c r="B93" s="18" t="inlineStr">
        <is>
          <t>4°</t>
        </is>
      </c>
      <c r="C93" s="18" t="inlineStr">
        <is>
          <t>Verificaciónes</t>
        </is>
      </c>
      <c r="D93" s="18" t="n"/>
      <c r="E93" s="18" t="n"/>
      <c r="F93" s="18" t="n"/>
      <c r="G93" s="18" t="n"/>
      <c r="H93" s="18" t="n"/>
      <c r="I93" s="18" t="n"/>
      <c r="J93" s="18" t="n"/>
      <c r="K93" s="18" t="n"/>
      <c r="L93" s="18" t="n"/>
      <c r="M93" s="18" t="n"/>
      <c r="N93" s="18" t="n"/>
    </row>
    <row r="94">
      <c r="A94" s="18" t="n"/>
      <c r="B94" s="18" t="n"/>
      <c r="C94" s="18" t="n"/>
      <c r="D94" s="18" t="n"/>
      <c r="E94" s="18" t="n"/>
      <c r="F94" s="18" t="n"/>
      <c r="G94" s="18" t="n"/>
      <c r="H94" s="18" t="n"/>
      <c r="I94" s="18" t="n"/>
      <c r="J94" s="18" t="n"/>
      <c r="K94" s="18" t="n"/>
      <c r="L94" s="18" t="n"/>
      <c r="M94" s="18" t="n"/>
      <c r="N94" s="18" t="n"/>
    </row>
    <row r="95">
      <c r="A95" s="18" t="n"/>
      <c r="B95" s="18" t="n"/>
      <c r="C95" s="30" t="inlineStr">
        <is>
          <t>● Por Cortante</t>
        </is>
      </c>
      <c r="D95" s="18" t="n"/>
      <c r="E95" s="18" t="n"/>
      <c r="F95" s="18" t="n"/>
      <c r="G95" s="18" t="n"/>
      <c r="H95" s="20" t="inlineStr">
        <is>
          <t>φ  =</t>
        </is>
      </c>
      <c r="I95" s="21">
        <f>HLOOKUP(E2,Parametros!B2:C5,4,FALSE)</f>
        <v/>
      </c>
      <c r="J95" s="18" t="n"/>
      <c r="K95" s="18" t="n"/>
      <c r="L95" s="18" t="n"/>
      <c r="M95" s="18" t="n"/>
      <c r="N95" s="18" t="n"/>
    </row>
    <row r="96">
      <c r="A96" s="18" t="n"/>
      <c r="B96" s="18" t="n"/>
      <c r="C96" s="18" t="n"/>
      <c r="D96" s="18" t="n"/>
      <c r="E96" s="18" t="n"/>
      <c r="F96" s="18" t="n"/>
      <c r="G96" s="18" t="n"/>
      <c r="H96" s="18" t="n"/>
      <c r="I96" s="18" t="n"/>
      <c r="J96" s="18" t="n"/>
      <c r="K96" s="18" t="n"/>
      <c r="L96" s="18" t="n"/>
      <c r="M96" s="18" t="n"/>
      <c r="N96" s="18" t="n"/>
    </row>
    <row r="97">
      <c r="A97" s="18" t="n"/>
      <c r="B97" s="18" t="n"/>
      <c r="C97" s="18" t="n"/>
      <c r="D97" s="18" t="n"/>
      <c r="E97" s="18" t="n"/>
      <c r="F97" s="18" t="n"/>
      <c r="G97" s="18" t="n"/>
      <c r="H97" s="18" t="n"/>
      <c r="I97" s="18" t="n"/>
      <c r="J97" s="18" t="n"/>
      <c r="K97" s="18" t="n"/>
      <c r="L97" s="18" t="n"/>
      <c r="M97" s="18" t="n"/>
      <c r="N97" s="18" t="n"/>
    </row>
    <row r="98">
      <c r="A98" s="18" t="n"/>
      <c r="B98" s="18" t="n"/>
      <c r="C98" s="18" t="n"/>
      <c r="D98" s="18" t="n"/>
      <c r="E98" s="18" t="n"/>
      <c r="F98" s="18" t="n"/>
      <c r="G98" s="18" t="n"/>
      <c r="H98" s="18" t="n"/>
      <c r="I98" s="18" t="n"/>
      <c r="J98" s="18" t="n"/>
      <c r="K98" s="18" t="n"/>
      <c r="L98" s="18" t="n"/>
      <c r="M98" s="18" t="n"/>
      <c r="N98" s="18" t="n"/>
    </row>
    <row r="99">
      <c r="A99" s="18" t="n"/>
      <c r="B99" s="18" t="n"/>
      <c r="C99" s="18" t="n"/>
      <c r="D99" s="18" t="n"/>
      <c r="E99" s="18" t="n"/>
      <c r="F99" s="18" t="n"/>
      <c r="G99" s="18" t="n"/>
      <c r="H99" s="18" t="n"/>
      <c r="I99" s="18" t="n"/>
      <c r="J99" s="18" t="n"/>
      <c r="K99" s="18" t="n"/>
      <c r="L99" s="18" t="n"/>
      <c r="M99" s="18" t="n"/>
      <c r="N99" s="18" t="n"/>
    </row>
    <row r="100">
      <c r="A100" s="18" t="n"/>
      <c r="B100" s="18" t="n"/>
      <c r="C100" s="18" t="n"/>
      <c r="D100" s="18" t="n"/>
      <c r="E100" s="18" t="n"/>
      <c r="F100" s="18" t="n"/>
      <c r="G100" s="18" t="n"/>
      <c r="H100" s="18" t="n"/>
      <c r="I100" s="18" t="n"/>
      <c r="J100" s="18" t="n"/>
      <c r="K100" s="18" t="n"/>
      <c r="L100" s="18" t="n"/>
      <c r="M100" s="18" t="n"/>
      <c r="N100" s="18" t="n"/>
    </row>
    <row r="101">
      <c r="A101" s="18" t="n"/>
      <c r="B101" s="18" t="n"/>
      <c r="C101" s="18" t="n"/>
      <c r="D101" s="18" t="n"/>
      <c r="E101" s="18" t="n"/>
      <c r="F101" s="18" t="n"/>
      <c r="G101" s="18" t="n"/>
      <c r="H101" s="18" t="n"/>
      <c r="I101" s="18" t="n"/>
      <c r="J101" s="18" t="n"/>
      <c r="K101" s="18" t="n"/>
      <c r="L101" s="18" t="n"/>
      <c r="M101" s="18" t="n"/>
      <c r="N101" s="18" t="n"/>
    </row>
    <row r="102">
      <c r="A102" s="18" t="n"/>
      <c r="B102" s="18" t="n"/>
      <c r="C102" s="18" t="n"/>
      <c r="D102" s="18" t="n"/>
      <c r="E102" s="18" t="n"/>
      <c r="F102" s="18" t="n"/>
      <c r="G102" s="18" t="n"/>
      <c r="H102" s="18" t="n"/>
      <c r="I102" s="18" t="n"/>
      <c r="J102" s="18" t="n"/>
      <c r="K102" s="18" t="n"/>
      <c r="L102" s="18" t="n"/>
      <c r="M102" s="18" t="n"/>
      <c r="N102" s="18" t="n"/>
    </row>
    <row r="103">
      <c r="A103" s="18" t="n"/>
      <c r="B103" s="18" t="n"/>
      <c r="C103" s="18" t="n"/>
      <c r="D103" s="18" t="n"/>
      <c r="E103" s="18" t="n"/>
      <c r="F103" s="18" t="n"/>
      <c r="G103" s="18" t="n"/>
      <c r="H103" s="18" t="n"/>
      <c r="I103" s="18" t="n"/>
      <c r="J103" s="18" t="n"/>
      <c r="K103" s="18" t="n"/>
      <c r="L103" s="18" t="n"/>
      <c r="M103" s="18" t="n"/>
      <c r="N103" s="18" t="n"/>
    </row>
    <row r="104">
      <c r="A104" s="18" t="n"/>
      <c r="B104" s="18" t="n"/>
      <c r="C104" s="18" t="n"/>
      <c r="D104" s="18" t="n"/>
      <c r="E104" s="18" t="n"/>
      <c r="F104" s="18" t="n"/>
      <c r="G104" s="18" t="n"/>
      <c r="H104" s="18" t="n"/>
      <c r="I104" s="18" t="n"/>
      <c r="J104" s="18" t="n"/>
      <c r="K104" s="18" t="n"/>
      <c r="L104" s="18" t="n"/>
      <c r="M104" s="18" t="n"/>
      <c r="N104" s="18" t="n"/>
    </row>
    <row r="105">
      <c r="A105" s="18" t="n"/>
      <c r="B105" s="18" t="n"/>
      <c r="C105" s="18" t="n"/>
      <c r="D105" s="18" t="n"/>
      <c r="E105" s="18" t="n"/>
      <c r="F105" s="18" t="n"/>
      <c r="G105" s="18" t="n"/>
      <c r="H105" s="18" t="n"/>
      <c r="I105" s="18" t="n"/>
      <c r="J105" s="18" t="n"/>
      <c r="K105" s="18" t="n"/>
      <c r="L105" s="18" t="n"/>
      <c r="M105" s="18" t="n"/>
      <c r="N105" s="18" t="n"/>
    </row>
    <row r="106">
      <c r="A106" s="18" t="n"/>
      <c r="B106" s="18" t="n"/>
      <c r="C106" s="18" t="n"/>
      <c r="D106" s="138" t="inlineStr">
        <is>
          <t>Y1  =</t>
        </is>
      </c>
      <c r="E106" s="54">
        <f>ROUND(C7*0.5+J85/100,3)</f>
        <v/>
      </c>
      <c r="F106" s="18" t="inlineStr">
        <is>
          <t>m</t>
        </is>
      </c>
      <c r="G106" s="18" t="n"/>
      <c r="H106" s="18" t="n"/>
      <c r="I106" s="138" t="inlineStr">
        <is>
          <t>Vd1  =</t>
        </is>
      </c>
      <c r="J106" s="18">
        <f>ABS(D54*0.5*C7-D52+D54*E106)</f>
        <v/>
      </c>
      <c r="K106" s="18" t="inlineStr">
        <is>
          <t>Kg</t>
        </is>
      </c>
      <c r="L106" s="18" t="n"/>
      <c r="M106" s="18" t="n"/>
      <c r="N106" s="18" t="n"/>
    </row>
    <row r="107">
      <c r="A107" s="18" t="n"/>
      <c r="B107" s="18" t="n"/>
      <c r="C107" s="18" t="n"/>
      <c r="D107" s="138" t="inlineStr">
        <is>
          <t>Y2  =</t>
        </is>
      </c>
      <c r="E107" s="54">
        <f>ROUND(F7*0.5+J85/100,3)</f>
        <v/>
      </c>
      <c r="F107" s="18" t="inlineStr">
        <is>
          <t>m</t>
        </is>
      </c>
      <c r="G107" s="18" t="n"/>
      <c r="H107" s="18" t="n"/>
      <c r="I107" s="138" t="inlineStr">
        <is>
          <t>Vd2  =</t>
        </is>
      </c>
      <c r="J107" s="18">
        <f>ABS(D54*(C7+F11+F7*0.5)-D52-D54*E107)</f>
        <v/>
      </c>
      <c r="K107" s="18" t="inlineStr">
        <is>
          <t>Kg</t>
        </is>
      </c>
      <c r="L107" s="18" t="n"/>
      <c r="M107" s="18" t="n"/>
      <c r="N107" s="18" t="n"/>
    </row>
    <row r="108">
      <c r="A108" s="18" t="n"/>
      <c r="B108" s="18" t="n"/>
      <c r="C108" s="18" t="n"/>
      <c r="D108" s="138" t="inlineStr">
        <is>
          <t>Y3  =</t>
        </is>
      </c>
      <c r="E108" s="54">
        <f>ROUND(0.5*F7+J89/100,3)</f>
        <v/>
      </c>
      <c r="F108" s="18" t="inlineStr">
        <is>
          <t>m</t>
        </is>
      </c>
      <c r="G108" s="18" t="n"/>
      <c r="H108" s="18" t="n"/>
      <c r="I108" s="138" t="inlineStr">
        <is>
          <t>Vd3  =</t>
        </is>
      </c>
      <c r="J108" s="18">
        <f>ABS(D54*(D44+0.5*F7-E108))</f>
        <v/>
      </c>
      <c r="K108" s="18" t="inlineStr">
        <is>
          <t>Kg</t>
        </is>
      </c>
      <c r="L108" s="18" t="n"/>
      <c r="M108" s="18" t="n"/>
      <c r="N108" s="18" t="n"/>
    </row>
    <row r="109">
      <c r="A109" s="18" t="n"/>
      <c r="B109" s="18" t="n"/>
      <c r="C109" s="18" t="n"/>
      <c r="D109" s="18" t="n"/>
      <c r="E109" s="18" t="n"/>
      <c r="F109" s="18" t="n"/>
      <c r="G109" s="18" t="n"/>
      <c r="H109" s="18" t="n"/>
      <c r="I109" s="18" t="n"/>
      <c r="J109" s="18" t="n"/>
      <c r="K109" s="18" t="n"/>
      <c r="L109" s="18" t="n"/>
      <c r="M109" s="18" t="n"/>
      <c r="N109" s="18" t="n"/>
    </row>
    <row r="110">
      <c r="A110" s="18" t="n"/>
      <c r="B110" s="18" t="n"/>
      <c r="C110" s="18" t="n"/>
      <c r="D110" s="18" t="n"/>
      <c r="E110" s="18" t="n"/>
      <c r="F110" s="15" t="inlineStr">
        <is>
          <t>Vu  =</t>
        </is>
      </c>
      <c r="G110" s="168">
        <f>MAX(J106:J108)</f>
        <v/>
      </c>
      <c r="H110" s="30" t="inlineStr">
        <is>
          <t>Kg</t>
        </is>
      </c>
      <c r="I110" s="18" t="n"/>
      <c r="J110" s="18" t="n"/>
      <c r="K110" s="18" t="n"/>
      <c r="L110" s="18" t="n"/>
      <c r="M110" s="18" t="n"/>
      <c r="N110" s="18" t="n"/>
    </row>
    <row r="111">
      <c r="A111" s="18" t="n"/>
      <c r="B111" s="18" t="n"/>
      <c r="C111" s="18" t="n"/>
      <c r="D111" s="18" t="n"/>
      <c r="E111" s="18" t="n"/>
      <c r="F111" s="20" t="inlineStr">
        <is>
          <t>Vn  =</t>
        </is>
      </c>
      <c r="G111" s="135">
        <f>G110/I95</f>
        <v/>
      </c>
      <c r="H111" s="27" t="inlineStr">
        <is>
          <t>Kg</t>
        </is>
      </c>
      <c r="I111" s="18" t="n"/>
      <c r="J111" s="20" t="inlineStr">
        <is>
          <t>Vc  =</t>
        </is>
      </c>
      <c r="K111" s="27">
        <f>0.53*SQRT(K9)*F45*J85</f>
        <v/>
      </c>
      <c r="L111" s="27" t="inlineStr">
        <is>
          <t>Kg</t>
        </is>
      </c>
      <c r="M111" s="18" t="n"/>
      <c r="N111" s="18" t="n"/>
    </row>
    <row r="112">
      <c r="A112" s="18" t="n"/>
      <c r="B112" s="18" t="n"/>
      <c r="C112" s="18" t="n"/>
      <c r="D112" s="18" t="n"/>
      <c r="E112" s="18" t="n"/>
      <c r="F112" s="18" t="n"/>
      <c r="G112" s="18" t="n"/>
      <c r="H112" s="18" t="n"/>
      <c r="I112" s="18" t="n"/>
      <c r="J112" s="18" t="n"/>
      <c r="K112" s="18" t="n"/>
      <c r="L112" s="18" t="n"/>
      <c r="M112" s="18" t="n"/>
      <c r="N112" s="18" t="n"/>
    </row>
    <row r="113">
      <c r="A113" s="18" t="n"/>
      <c r="B113" s="18" t="n"/>
      <c r="C113" s="18" t="n"/>
      <c r="D113" s="18" t="n"/>
      <c r="E113" s="18" t="n"/>
      <c r="F113" s="28">
        <f>IF(G111&lt;=K111,"Vn &lt; Vc ……….(Conforme)","Vn &gt; Vc ……….(Aumentar Peralte)")</f>
        <v/>
      </c>
      <c r="G113" s="18" t="n"/>
      <c r="H113" s="18" t="n"/>
      <c r="I113" s="18" t="n"/>
      <c r="J113" s="18" t="n"/>
      <c r="K113" s="18" t="n"/>
      <c r="L113" s="18" t="n"/>
      <c r="M113" s="18" t="n"/>
      <c r="N113" s="18" t="n"/>
    </row>
    <row r="114">
      <c r="A114" s="18" t="n"/>
      <c r="B114" s="18" t="n"/>
      <c r="C114" s="18" t="n"/>
      <c r="D114" s="18" t="n"/>
      <c r="E114" s="18" t="n"/>
      <c r="F114" s="18" t="n"/>
      <c r="G114" s="18" t="n"/>
      <c r="H114" s="18" t="n"/>
      <c r="I114" s="18" t="n"/>
      <c r="J114" s="18" t="n"/>
      <c r="K114" s="18" t="n"/>
      <c r="L114" s="18" t="n"/>
      <c r="M114" s="18" t="n"/>
      <c r="N114" s="18" t="n"/>
    </row>
    <row r="115">
      <c r="A115" s="18" t="n"/>
      <c r="B115" s="18" t="n"/>
      <c r="C115" s="18" t="n"/>
      <c r="D115" s="18" t="n"/>
      <c r="E115" s="18" t="n"/>
      <c r="F115" s="18" t="n"/>
      <c r="G115" s="18" t="n"/>
      <c r="H115" s="18" t="n"/>
      <c r="I115" s="18" t="n"/>
      <c r="J115" s="18" t="n"/>
      <c r="K115" s="18" t="n"/>
      <c r="L115" s="18" t="n"/>
      <c r="M115" s="18" t="n"/>
      <c r="N115" s="18" t="n"/>
    </row>
    <row r="116">
      <c r="A116" s="18" t="n"/>
      <c r="B116" s="18" t="n"/>
      <c r="C116" s="18" t="n"/>
      <c r="D116" s="18" t="n"/>
      <c r="E116" s="18" t="n"/>
      <c r="F116" s="18" t="n"/>
      <c r="G116" s="18" t="n"/>
      <c r="H116" s="18" t="n"/>
      <c r="I116" s="18" t="n"/>
      <c r="J116" s="18" t="n"/>
      <c r="K116" s="18" t="n"/>
      <c r="L116" s="18" t="n"/>
      <c r="M116" s="18" t="n"/>
      <c r="N116" s="18" t="n"/>
    </row>
    <row r="117">
      <c r="A117" s="18" t="n"/>
      <c r="B117" s="18" t="n"/>
      <c r="C117" s="18" t="n"/>
      <c r="D117" s="18" t="n"/>
      <c r="E117" s="18" t="n"/>
      <c r="F117" s="18" t="n"/>
      <c r="G117" s="18" t="n"/>
      <c r="H117" s="18" t="n"/>
      <c r="I117" s="18" t="n"/>
      <c r="J117" s="18" t="n"/>
      <c r="K117" s="18" t="n"/>
      <c r="L117" s="18" t="n"/>
      <c r="M117" s="18" t="n"/>
      <c r="N117" s="18" t="n"/>
    </row>
    <row r="118">
      <c r="A118" s="18" t="n"/>
      <c r="B118" s="18" t="n"/>
      <c r="C118" s="18" t="n"/>
      <c r="D118" s="18" t="n"/>
      <c r="E118" s="18" t="n"/>
      <c r="F118" s="18" t="n"/>
      <c r="G118" s="18" t="n"/>
      <c r="H118" s="18" t="n"/>
      <c r="I118" s="18" t="n"/>
      <c r="J118" s="18" t="n"/>
      <c r="K118" s="18" t="n"/>
      <c r="L118" s="18" t="n"/>
      <c r="M118" s="18" t="n"/>
      <c r="N118" s="18" t="n"/>
    </row>
    <row r="119">
      <c r="A119" s="18" t="n"/>
      <c r="B119" s="18" t="n"/>
      <c r="C119" s="18" t="n"/>
      <c r="D119" s="18" t="n"/>
      <c r="E119" s="18" t="n"/>
      <c r="F119" s="18" t="n"/>
      <c r="G119" s="18" t="n"/>
      <c r="H119" s="18" t="n"/>
      <c r="I119" s="18" t="n"/>
      <c r="J119" s="18" t="n"/>
      <c r="K119" s="18" t="n"/>
      <c r="L119" s="18" t="n"/>
      <c r="M119" s="18" t="n"/>
      <c r="N119" s="18" t="n"/>
    </row>
    <row r="120">
      <c r="A120" s="18" t="n"/>
      <c r="B120" s="18" t="n"/>
      <c r="C120" s="30" t="inlineStr">
        <is>
          <t>● Por Punzonamiento</t>
        </is>
      </c>
      <c r="D120" s="18" t="n"/>
      <c r="E120" s="18" t="n"/>
      <c r="F120" s="18" t="n"/>
      <c r="G120" s="18" t="n"/>
      <c r="H120" s="20" t="inlineStr">
        <is>
          <t>φ  =</t>
        </is>
      </c>
      <c r="I120" s="21">
        <f>HLOOKUP(E2,Parametros!B2:C5,4,FALSE)</f>
        <v/>
      </c>
      <c r="J120" s="18" t="n"/>
      <c r="K120" s="18" t="n"/>
      <c r="L120" s="18" t="n"/>
      <c r="M120" s="18" t="n"/>
      <c r="N120" s="18" t="n"/>
    </row>
    <row r="121">
      <c r="A121" s="18" t="n"/>
      <c r="B121" s="18" t="n"/>
      <c r="C121" s="18" t="n"/>
      <c r="D121" s="18" t="n"/>
      <c r="E121" s="18" t="n"/>
      <c r="F121" s="18" t="n"/>
      <c r="G121" s="18" t="n"/>
      <c r="H121" s="18" t="n"/>
      <c r="I121" s="18" t="n"/>
      <c r="J121" s="18" t="n"/>
      <c r="K121" s="18" t="n"/>
      <c r="L121" s="18" t="n"/>
      <c r="M121" s="18" t="n"/>
      <c r="N121" s="18" t="n"/>
    </row>
    <row r="122">
      <c r="A122" s="18" t="n"/>
      <c r="B122" s="18" t="n"/>
      <c r="C122" s="18" t="n"/>
      <c r="D122" s="18" t="n"/>
      <c r="E122" s="18" t="n"/>
      <c r="F122" s="18" t="n"/>
      <c r="G122" s="18" t="n"/>
      <c r="H122" s="18" t="n"/>
      <c r="I122" s="18" t="n"/>
      <c r="J122" s="18" t="n"/>
      <c r="K122" s="18" t="n"/>
      <c r="L122" s="18" t="n"/>
      <c r="M122" s="18" t="n"/>
      <c r="N122" s="18" t="n"/>
    </row>
    <row r="123">
      <c r="A123" s="18" t="n"/>
      <c r="B123" s="18" t="n"/>
      <c r="C123" s="18" t="n"/>
      <c r="D123" s="18" t="n"/>
      <c r="E123" s="18" t="n"/>
      <c r="F123" s="18" t="n"/>
      <c r="G123" s="18" t="n"/>
      <c r="H123" s="18" t="n"/>
      <c r="I123" s="18" t="n"/>
      <c r="J123" s="18" t="n"/>
      <c r="K123" s="18" t="n"/>
      <c r="L123" s="18" t="n"/>
      <c r="M123" s="18" t="n"/>
      <c r="N123" s="18" t="n"/>
    </row>
    <row r="124">
      <c r="A124" s="18" t="n"/>
      <c r="B124" s="18" t="n"/>
      <c r="C124" s="18" t="n"/>
      <c r="D124" s="18" t="n"/>
      <c r="E124" s="18" t="n"/>
      <c r="F124" s="18" t="n"/>
      <c r="G124" s="18" t="n"/>
      <c r="H124" s="18" t="n"/>
      <c r="I124" s="18" t="n"/>
      <c r="J124" s="18" t="n"/>
      <c r="K124" s="18" t="n"/>
      <c r="L124" s="18" t="n"/>
      <c r="M124" s="18" t="n"/>
      <c r="N124" s="18" t="n"/>
    </row>
    <row r="125">
      <c r="A125" s="18" t="n"/>
      <c r="B125" s="18" t="n"/>
      <c r="C125" s="18" t="n"/>
      <c r="D125" s="18" t="n"/>
      <c r="E125" s="18" t="n"/>
      <c r="F125" s="18" t="n"/>
      <c r="G125" s="18" t="n"/>
      <c r="H125" s="18" t="n"/>
      <c r="I125" s="18" t="n"/>
      <c r="J125" s="18" t="n"/>
      <c r="K125" s="18" t="n"/>
      <c r="L125" s="18" t="n"/>
      <c r="M125" s="18" t="n"/>
      <c r="N125" s="18" t="n"/>
    </row>
    <row r="126">
      <c r="A126" s="18" t="n"/>
      <c r="B126" s="18" t="n"/>
      <c r="C126" s="18" t="n"/>
      <c r="D126" s="18" t="n"/>
      <c r="E126" s="18" t="n"/>
      <c r="F126" s="18" t="n"/>
      <c r="G126" s="18" t="n"/>
      <c r="H126" s="18" t="n"/>
      <c r="I126" s="18" t="n"/>
      <c r="J126" s="18" t="n"/>
      <c r="K126" s="18" t="n"/>
      <c r="L126" s="18" t="n"/>
      <c r="M126" s="18" t="n"/>
      <c r="N126" s="18" t="n"/>
    </row>
    <row r="127">
      <c r="A127" s="18" t="n"/>
      <c r="B127" s="18" t="n"/>
      <c r="C127" s="18" t="n"/>
      <c r="D127" s="18" t="n"/>
      <c r="E127" s="18" t="n"/>
      <c r="F127" s="18" t="n"/>
      <c r="G127" s="18" t="n"/>
      <c r="H127" s="18" t="n"/>
      <c r="I127" s="18" t="n"/>
      <c r="J127" s="18" t="n"/>
      <c r="K127" s="18" t="n"/>
      <c r="L127" s="18" t="n"/>
      <c r="M127" s="18" t="n"/>
      <c r="N127" s="18" t="n"/>
    </row>
    <row r="128">
      <c r="A128" s="18" t="n"/>
      <c r="B128" s="18" t="n"/>
      <c r="C128" s="18" t="n"/>
      <c r="D128" s="18" t="n"/>
      <c r="E128" s="18" t="n"/>
      <c r="F128" s="18" t="n"/>
      <c r="G128" s="18" t="n"/>
      <c r="H128" s="18" t="n"/>
      <c r="I128" s="18" t="n"/>
      <c r="J128" s="18" t="n"/>
      <c r="K128" s="18" t="n"/>
      <c r="L128" s="18" t="n"/>
      <c r="M128" s="18" t="n"/>
      <c r="N128" s="18" t="n"/>
    </row>
    <row r="129">
      <c r="A129" s="18" t="n"/>
      <c r="B129" s="18" t="n"/>
      <c r="C129" s="18" t="n"/>
      <c r="D129" s="18" t="n"/>
      <c r="E129" s="18" t="n"/>
      <c r="F129" s="18" t="n"/>
      <c r="G129" s="18" t="n"/>
      <c r="H129" s="18" t="n"/>
      <c r="I129" s="18" t="n"/>
      <c r="J129" s="18" t="n"/>
      <c r="K129" s="18" t="n"/>
      <c r="L129" s="18" t="n"/>
      <c r="M129" s="18" t="n"/>
      <c r="N129" s="18" t="n"/>
    </row>
    <row r="130">
      <c r="A130" s="18" t="n"/>
      <c r="B130" s="18" t="n"/>
      <c r="C130" s="18" t="n"/>
      <c r="D130" s="18" t="n"/>
      <c r="E130" s="18" t="n"/>
      <c r="F130" s="18" t="n"/>
      <c r="G130" s="18" t="n"/>
      <c r="H130" s="18" t="n"/>
      <c r="I130" s="18" t="n"/>
      <c r="J130" s="18" t="n"/>
      <c r="K130" s="18" t="n"/>
      <c r="L130" s="18" t="n"/>
      <c r="M130" s="18" t="n"/>
      <c r="N130" s="18" t="n"/>
    </row>
    <row r="131">
      <c r="A131" s="18" t="n"/>
      <c r="B131" s="18" t="n"/>
      <c r="C131" s="18" t="n"/>
      <c r="D131" s="18" t="n"/>
      <c r="E131" s="18" t="n"/>
      <c r="F131" s="18" t="n"/>
      <c r="G131" s="18" t="n"/>
      <c r="H131" s="18" t="n"/>
      <c r="I131" s="18" t="n"/>
      <c r="J131" s="18" t="n"/>
      <c r="K131" s="18" t="n"/>
      <c r="L131" s="18" t="n"/>
      <c r="M131" s="18" t="n"/>
      <c r="N131" s="18" t="n"/>
    </row>
    <row r="132">
      <c r="A132" s="18" t="n"/>
      <c r="B132" s="18" t="n"/>
      <c r="C132" s="18" t="n"/>
      <c r="D132" s="18" t="n"/>
      <c r="E132" s="18" t="n"/>
      <c r="F132" s="18" t="n"/>
      <c r="G132" s="18" t="n"/>
      <c r="H132" s="18" t="n"/>
      <c r="I132" s="18" t="n"/>
      <c r="J132" s="18" t="n"/>
      <c r="K132" s="18" t="n"/>
      <c r="L132" s="18" t="n"/>
      <c r="M132" s="18" t="n"/>
      <c r="N132" s="18" t="n"/>
    </row>
    <row r="133">
      <c r="A133" s="18" t="n"/>
      <c r="B133" s="18" t="n"/>
      <c r="C133" s="18" t="n"/>
      <c r="D133" s="18" t="n"/>
      <c r="E133" s="18" t="n"/>
      <c r="F133" s="18" t="n"/>
      <c r="G133" s="18" t="n"/>
      <c r="H133" s="18" t="n"/>
      <c r="I133" s="18" t="n"/>
      <c r="J133" s="18" t="n"/>
      <c r="K133" s="18" t="n"/>
      <c r="L133" s="18" t="n"/>
      <c r="M133" s="18" t="n"/>
      <c r="N133" s="18" t="n"/>
    </row>
    <row r="134">
      <c r="A134" s="18" t="n"/>
      <c r="B134" s="18" t="n"/>
      <c r="C134" s="18" t="n"/>
      <c r="D134" s="18" t="n"/>
      <c r="E134" s="18" t="n"/>
      <c r="F134" s="18" t="n"/>
      <c r="G134" s="18" t="n"/>
      <c r="H134" s="18" t="n"/>
      <c r="I134" s="18" t="n"/>
      <c r="J134" s="18" t="n"/>
      <c r="K134" s="18" t="n"/>
      <c r="L134" s="18" t="n"/>
      <c r="M134" s="18" t="n"/>
      <c r="N134" s="18" t="n"/>
    </row>
    <row r="135">
      <c r="A135" s="18" t="n"/>
      <c r="B135" s="18" t="n"/>
      <c r="C135" s="18" t="n"/>
      <c r="D135" s="18" t="n"/>
      <c r="E135" s="18" t="n"/>
      <c r="F135" s="18" t="n"/>
      <c r="G135" s="18" t="n"/>
      <c r="H135" s="18" t="n"/>
      <c r="I135" s="18" t="n"/>
      <c r="J135" s="18" t="n"/>
      <c r="K135" s="18" t="n"/>
      <c r="L135" s="18" t="n"/>
      <c r="M135" s="18" t="n"/>
      <c r="N135" s="18" t="n"/>
    </row>
    <row r="136">
      <c r="A136" s="18" t="n"/>
      <c r="B136" s="18" t="n"/>
      <c r="C136" s="18" t="n"/>
      <c r="D136" s="18" t="n"/>
      <c r="E136" s="18" t="n"/>
      <c r="F136" s="18" t="n"/>
      <c r="G136" s="18" t="n"/>
      <c r="H136" s="18" t="n"/>
      <c r="I136" s="18" t="n"/>
      <c r="J136" s="18" t="n"/>
      <c r="K136" s="18" t="n"/>
      <c r="L136" s="18" t="n"/>
      <c r="M136" s="18" t="n"/>
      <c r="N136" s="18" t="n"/>
    </row>
    <row r="137">
      <c r="A137" s="18" t="n"/>
      <c r="B137" s="18" t="n"/>
      <c r="C137" s="18" t="n"/>
      <c r="D137" s="18" t="n"/>
      <c r="E137" s="18" t="n"/>
      <c r="F137" s="18" t="n"/>
      <c r="G137" s="18" t="n"/>
      <c r="H137" s="18" t="n"/>
      <c r="I137" s="18" t="n"/>
      <c r="J137" s="18" t="n"/>
      <c r="K137" s="18" t="n"/>
      <c r="L137" s="18" t="n"/>
      <c r="M137" s="18" t="n"/>
      <c r="N137" s="18" t="n"/>
    </row>
    <row r="138">
      <c r="A138" s="18" t="n"/>
      <c r="B138" s="18" t="n"/>
      <c r="C138" s="18" t="n"/>
      <c r="D138" s="18" t="n"/>
      <c r="E138" s="18" t="n"/>
      <c r="F138" s="18" t="n"/>
      <c r="G138" s="18" t="n"/>
      <c r="H138" s="18" t="n"/>
      <c r="I138" s="18" t="n"/>
      <c r="J138" s="18" t="n"/>
      <c r="K138" s="18" t="n"/>
      <c r="L138" s="18" t="n"/>
      <c r="M138" s="18" t="n"/>
      <c r="N138" s="18" t="n"/>
    </row>
    <row r="139">
      <c r="A139" s="18" t="n"/>
      <c r="B139" s="18" t="n"/>
      <c r="C139" s="18" t="n"/>
      <c r="D139" s="18" t="n"/>
      <c r="E139" s="18" t="n"/>
      <c r="F139" s="18" t="n"/>
      <c r="G139" s="18" t="n"/>
      <c r="H139" s="18" t="n"/>
      <c r="I139" s="18" t="n"/>
      <c r="J139" s="18" t="n"/>
      <c r="K139" s="18" t="n"/>
      <c r="L139" s="18" t="n"/>
      <c r="M139" s="18" t="n"/>
      <c r="N139" s="18" t="n"/>
    </row>
    <row r="140">
      <c r="A140" s="18" t="n"/>
      <c r="B140" s="18" t="n"/>
      <c r="C140" s="18" t="n"/>
      <c r="D140" s="18" t="n"/>
      <c r="E140" s="18" t="n"/>
      <c r="F140" s="18" t="n"/>
      <c r="G140" s="18" t="n"/>
      <c r="H140" s="18" t="n"/>
      <c r="I140" s="18" t="n"/>
      <c r="J140" s="18" t="n"/>
      <c r="K140" s="18" t="n"/>
      <c r="L140" s="18" t="n"/>
      <c r="M140" s="18" t="n"/>
      <c r="N140" s="18" t="n"/>
    </row>
    <row r="141">
      <c r="A141" s="18" t="n"/>
      <c r="B141" s="18" t="n"/>
      <c r="C141" s="18" t="n"/>
      <c r="D141" s="18" t="n"/>
      <c r="E141" s="18" t="n"/>
      <c r="F141" s="18" t="n"/>
      <c r="G141" s="18" t="n"/>
      <c r="H141" s="18" t="n"/>
      <c r="I141" s="18" t="n"/>
      <c r="J141" s="18" t="n"/>
      <c r="K141" s="18" t="n"/>
      <c r="L141" s="18" t="n"/>
      <c r="M141" s="18" t="n"/>
      <c r="N141" s="18" t="n"/>
    </row>
    <row r="142">
      <c r="A142" s="18" t="n"/>
      <c r="B142" s="18" t="n"/>
      <c r="C142" s="18" t="n"/>
      <c r="D142" s="18" t="n"/>
      <c r="E142" s="18" t="n"/>
      <c r="F142" s="18" t="n"/>
      <c r="G142" s="18" t="n"/>
      <c r="H142" s="18" t="n"/>
      <c r="I142" s="18" t="n"/>
      <c r="J142" s="18" t="n"/>
      <c r="K142" s="18" t="n"/>
      <c r="L142" s="18" t="n"/>
      <c r="M142" s="18" t="n"/>
      <c r="N142" s="18" t="n"/>
    </row>
    <row r="143">
      <c r="A143" s="18" t="n"/>
      <c r="B143" s="18" t="n"/>
      <c r="C143" s="18" t="n"/>
      <c r="D143" s="18" t="n"/>
      <c r="E143" s="18" t="n"/>
      <c r="F143" s="18" t="n"/>
      <c r="G143" s="18" t="n"/>
      <c r="H143" s="18" t="n"/>
      <c r="I143" s="18" t="n"/>
      <c r="J143" s="18" t="n"/>
      <c r="K143" s="18" t="n"/>
      <c r="L143" s="18" t="n"/>
      <c r="M143" s="18" t="n"/>
      <c r="N143" s="18" t="n"/>
    </row>
    <row r="144">
      <c r="A144" s="18" t="n"/>
      <c r="B144" s="18" t="n"/>
      <c r="C144" s="18" t="n"/>
      <c r="D144" s="18" t="n"/>
      <c r="E144" s="18" t="n"/>
      <c r="F144" s="18" t="n"/>
      <c r="G144" s="18" t="n"/>
      <c r="H144" s="18" t="n"/>
      <c r="I144" s="18" t="n"/>
      <c r="J144" s="18" t="n"/>
      <c r="K144" s="18" t="n"/>
      <c r="L144" s="18" t="n"/>
      <c r="M144" s="18" t="n"/>
      <c r="N144" s="18" t="n"/>
    </row>
    <row r="145">
      <c r="A145" s="18" t="n"/>
      <c r="B145" s="18" t="n"/>
      <c r="C145" s="18" t="n"/>
      <c r="D145" s="18" t="n"/>
      <c r="E145" s="18" t="n"/>
      <c r="F145" s="18" t="n"/>
      <c r="G145" s="18" t="n"/>
      <c r="H145" s="18" t="n"/>
      <c r="I145" s="18" t="n"/>
      <c r="J145" s="18" t="n"/>
      <c r="K145" s="18" t="n"/>
      <c r="L145" s="18" t="n"/>
      <c r="M145" s="18" t="n"/>
      <c r="N145" s="18" t="n"/>
    </row>
    <row r="146">
      <c r="A146" s="18" t="n"/>
      <c r="B146" s="18" t="n"/>
      <c r="C146" s="18" t="n"/>
      <c r="D146" s="18" t="n"/>
      <c r="E146" s="18" t="n"/>
      <c r="F146" s="18" t="n"/>
      <c r="G146" s="18" t="n"/>
      <c r="H146" s="18" t="n"/>
      <c r="I146" s="18" t="n"/>
      <c r="J146" s="18" t="n"/>
      <c r="K146" s="18" t="n"/>
      <c r="L146" s="18" t="n"/>
      <c r="M146" s="18" t="n"/>
      <c r="N146" s="18" t="n"/>
    </row>
    <row r="147">
      <c r="A147" s="18" t="n"/>
      <c r="B147" s="18" t="n"/>
      <c r="C147" s="18" t="n"/>
      <c r="D147" s="18" t="n"/>
      <c r="E147" s="18" t="n"/>
      <c r="F147" s="18" t="n"/>
      <c r="G147" s="18" t="n"/>
      <c r="H147" s="18" t="n"/>
      <c r="I147" s="18" t="n"/>
      <c r="J147" s="18" t="n"/>
      <c r="K147" s="18" t="n"/>
      <c r="L147" s="18" t="n"/>
      <c r="M147" s="18" t="n"/>
      <c r="N147" s="18" t="n"/>
    </row>
    <row r="148">
      <c r="A148" s="18" t="n"/>
      <c r="B148" s="18" t="n"/>
      <c r="C148" s="18" t="n"/>
      <c r="D148" s="18" t="n"/>
      <c r="E148" s="18" t="n"/>
      <c r="F148" s="18" t="n"/>
      <c r="G148" s="18" t="n"/>
      <c r="H148" s="18" t="n"/>
      <c r="I148" s="18" t="n"/>
      <c r="J148" s="18" t="n"/>
      <c r="K148" s="18" t="n"/>
      <c r="L148" s="18" t="n"/>
      <c r="M148" s="18" t="n"/>
      <c r="N148" s="18" t="n"/>
    </row>
    <row r="149">
      <c r="A149" s="18" t="n"/>
      <c r="B149" s="18" t="n"/>
      <c r="C149" s="18" t="n"/>
      <c r="D149" s="29" t="inlineStr">
        <is>
          <t>a) Columna Exterior</t>
        </is>
      </c>
      <c r="E149" s="18" t="n"/>
      <c r="F149" s="18" t="n"/>
      <c r="G149" s="18" t="n"/>
      <c r="H149" s="18" t="n"/>
      <c r="I149" s="18" t="n"/>
      <c r="J149" s="18" t="n"/>
      <c r="K149" s="18" t="n"/>
      <c r="L149" s="18" t="n"/>
      <c r="M149" s="18" t="n"/>
      <c r="N149" s="18" t="n"/>
    </row>
    <row r="150">
      <c r="A150" s="18" t="n"/>
      <c r="B150" s="18" t="n"/>
      <c r="C150" s="18" t="n"/>
      <c r="D150" s="18" t="n"/>
      <c r="E150" s="18" t="n"/>
      <c r="F150" s="138" t="inlineStr">
        <is>
          <t>Vu  =</t>
        </is>
      </c>
      <c r="G150" s="54">
        <f>D52-I54*(C7*100+J85/2)*(C8*100+J85/2)</f>
        <v/>
      </c>
      <c r="H150" s="18" t="inlineStr">
        <is>
          <t>Kg</t>
        </is>
      </c>
      <c r="I150" s="18" t="n"/>
      <c r="J150" s="138" t="inlineStr">
        <is>
          <t>Vn  =</t>
        </is>
      </c>
      <c r="K150" s="18">
        <f>G150/I120</f>
        <v/>
      </c>
      <c r="L150" s="18" t="inlineStr">
        <is>
          <t>Kg</t>
        </is>
      </c>
      <c r="M150" s="18" t="n"/>
      <c r="N150" s="18" t="n"/>
    </row>
    <row r="151">
      <c r="A151" s="18" t="n"/>
      <c r="B151" s="18" t="n"/>
      <c r="C151" s="18" t="n"/>
      <c r="D151" s="18" t="n"/>
      <c r="E151" s="18" t="n"/>
      <c r="F151" s="18" t="n"/>
      <c r="G151" s="18" t="n"/>
      <c r="H151" s="18" t="n"/>
      <c r="I151" s="18" t="n"/>
      <c r="J151" s="18" t="n"/>
      <c r="K151" s="18" t="n"/>
      <c r="L151" s="18" t="n"/>
      <c r="M151" s="18" t="n"/>
      <c r="N151" s="18" t="n"/>
    </row>
    <row r="152">
      <c r="A152" s="18" t="n"/>
      <c r="B152" s="18" t="n"/>
      <c r="C152" s="18" t="n"/>
      <c r="D152" s="18" t="n"/>
      <c r="E152" s="18" t="n"/>
      <c r="F152" s="18" t="inlineStr">
        <is>
          <t>Vc1  =</t>
        </is>
      </c>
      <c r="G152" s="54">
        <f>0.27*(2+4*MIN(C7:C8)/MAX(C7:C8))*SQRT(K9)*F45*J85</f>
        <v/>
      </c>
      <c r="H152" s="18" t="inlineStr">
        <is>
          <t>Kg</t>
        </is>
      </c>
      <c r="I152" s="18" t="n"/>
      <c r="J152" s="18" t="n"/>
      <c r="K152" s="18" t="n"/>
      <c r="L152" s="18" t="n"/>
      <c r="M152" s="18" t="n"/>
      <c r="N152" s="18" t="n"/>
    </row>
    <row r="153">
      <c r="A153" s="18" t="n"/>
      <c r="B153" s="18" t="n"/>
      <c r="C153" s="18" t="n"/>
      <c r="D153" s="18" t="n"/>
      <c r="E153" s="18" t="n"/>
      <c r="F153" s="18" t="inlineStr">
        <is>
          <t>Vc2  =</t>
        </is>
      </c>
      <c r="G153" s="54">
        <f>0.27*(2+30*J85/F45)*SQRT(K9)*F45*J85</f>
        <v/>
      </c>
      <c r="H153" s="18" t="inlineStr">
        <is>
          <t>Kg</t>
        </is>
      </c>
      <c r="I153" s="15" t="inlineStr">
        <is>
          <t>Vc  =</t>
        </is>
      </c>
      <c r="J153" s="16">
        <f>ROUND(MIN(G152,G153,G154),2)</f>
        <v/>
      </c>
      <c r="K153" s="30" t="inlineStr">
        <is>
          <t>Kg</t>
        </is>
      </c>
      <c r="L153" s="18" t="n"/>
      <c r="M153" s="18" t="n"/>
      <c r="N153" s="18" t="n"/>
    </row>
    <row r="154">
      <c r="A154" s="18" t="n"/>
      <c r="B154" s="18" t="n"/>
      <c r="C154" s="18" t="n"/>
      <c r="D154" s="18" t="n"/>
      <c r="E154" s="18" t="n"/>
      <c r="F154" s="18" t="inlineStr">
        <is>
          <t>Vc3  =</t>
        </is>
      </c>
      <c r="G154" s="54">
        <f>1.06*SQRT(K9)*F45*J85</f>
        <v/>
      </c>
      <c r="H154" s="18" t="inlineStr">
        <is>
          <t>Kg</t>
        </is>
      </c>
      <c r="I154" s="18" t="n"/>
      <c r="J154" s="18" t="n"/>
      <c r="K154" s="18" t="n"/>
      <c r="L154" s="18" t="n"/>
      <c r="M154" s="18" t="n"/>
      <c r="N154" s="18" t="n"/>
    </row>
    <row r="155">
      <c r="A155" s="18" t="n"/>
      <c r="B155" s="18" t="n"/>
      <c r="C155" s="18" t="n"/>
      <c r="D155" s="18" t="n"/>
      <c r="E155" s="18" t="n"/>
      <c r="F155" s="18" t="n"/>
      <c r="G155" s="18" t="n"/>
      <c r="H155" s="18" t="n"/>
      <c r="I155" s="18" t="n"/>
      <c r="J155" s="18" t="n"/>
      <c r="K155" s="18" t="n"/>
      <c r="L155" s="18" t="n"/>
      <c r="M155" s="18" t="n"/>
      <c r="N155" s="18" t="n"/>
    </row>
    <row r="156">
      <c r="A156" s="18" t="n"/>
      <c r="B156" s="18" t="n"/>
      <c r="C156" s="18" t="n"/>
      <c r="D156" s="18" t="n"/>
      <c r="E156" s="18" t="n"/>
      <c r="F156" s="28">
        <f>IF(K150&lt;=J153,"Vn &lt; Vc ……….(Conforme)","Vn &gt; Vc ……….(Aumentar Peralte o f'c)")</f>
        <v/>
      </c>
      <c r="G156" s="18" t="n"/>
      <c r="H156" s="18" t="n"/>
      <c r="I156" s="18" t="n"/>
      <c r="J156" s="18" t="n"/>
      <c r="K156" s="18" t="n"/>
      <c r="L156" s="18" t="n"/>
      <c r="M156" s="18" t="n"/>
      <c r="N156" s="18" t="n"/>
    </row>
    <row r="157">
      <c r="A157" s="18" t="n"/>
      <c r="B157" s="18" t="n"/>
      <c r="C157" s="18" t="n"/>
      <c r="D157" s="18" t="n"/>
      <c r="E157" s="18" t="n"/>
      <c r="F157" s="18" t="n"/>
      <c r="G157" s="18" t="n"/>
      <c r="H157" s="18" t="n"/>
      <c r="I157" s="18" t="n"/>
      <c r="J157" s="18" t="n"/>
      <c r="K157" s="18" t="n"/>
      <c r="L157" s="18" t="n"/>
      <c r="M157" s="18" t="n"/>
      <c r="N157" s="18" t="n"/>
    </row>
    <row r="158">
      <c r="A158" s="18" t="n"/>
      <c r="B158" s="18" t="n"/>
      <c r="C158" s="18" t="n"/>
      <c r="D158" s="29" t="inlineStr">
        <is>
          <t>b) Columna Interior</t>
        </is>
      </c>
      <c r="E158" s="18" t="n"/>
      <c r="F158" s="18" t="n"/>
      <c r="G158" s="18" t="n"/>
      <c r="H158" s="18" t="n"/>
      <c r="I158" s="18" t="n"/>
      <c r="J158" s="18" t="n"/>
      <c r="K158" s="18" t="n"/>
      <c r="L158" s="18" t="n"/>
      <c r="M158" s="18" t="n"/>
      <c r="N158" s="18" t="n"/>
    </row>
    <row r="159">
      <c r="A159" s="18" t="n"/>
      <c r="B159" s="18" t="n"/>
      <c r="C159" s="18" t="n"/>
      <c r="D159" s="18" t="n"/>
      <c r="E159" s="18" t="n"/>
      <c r="F159" s="138" t="inlineStr">
        <is>
          <t>Vu  =</t>
        </is>
      </c>
      <c r="G159" s="18">
        <f>D53-I54*(F7*100+MAX(J85,J89))*(F8*100+MAX(J85,J89))</f>
        <v/>
      </c>
      <c r="H159" s="18" t="inlineStr">
        <is>
          <t>Kg</t>
        </is>
      </c>
      <c r="I159" s="18" t="n"/>
      <c r="J159" s="138" t="inlineStr">
        <is>
          <t>Vn  =</t>
        </is>
      </c>
      <c r="K159" s="18">
        <f>G159/I120</f>
        <v/>
      </c>
      <c r="L159" s="18" t="inlineStr">
        <is>
          <t>Kg</t>
        </is>
      </c>
      <c r="M159" s="18" t="n"/>
      <c r="N159" s="18" t="n"/>
    </row>
    <row r="160">
      <c r="A160" s="18" t="n"/>
      <c r="B160" s="18" t="n"/>
      <c r="C160" s="18" t="n"/>
      <c r="D160" s="18" t="n"/>
      <c r="E160" s="18" t="n"/>
      <c r="F160" s="18" t="n"/>
      <c r="G160" s="18" t="n"/>
      <c r="H160" s="18" t="n"/>
      <c r="I160" s="18" t="n"/>
      <c r="J160" s="18" t="n"/>
      <c r="K160" s="18" t="n"/>
      <c r="L160" s="18" t="n"/>
      <c r="M160" s="18" t="n"/>
      <c r="N160" s="18" t="n"/>
    </row>
    <row r="161">
      <c r="A161" s="18" t="n"/>
      <c r="B161" s="18" t="n"/>
      <c r="C161" s="18" t="n"/>
      <c r="D161" s="18" t="n"/>
      <c r="E161" s="18" t="n"/>
      <c r="F161" s="18" t="inlineStr">
        <is>
          <t>Vc1  =</t>
        </is>
      </c>
      <c r="G161" s="18">
        <f>0.27*(2+4*MIN(F7:F8)/MAX(F7:F8))*SQRT(K9)*F45*MAX(J85,J89)</f>
        <v/>
      </c>
      <c r="H161" s="18" t="inlineStr">
        <is>
          <t>Kg</t>
        </is>
      </c>
      <c r="I161" s="18" t="n"/>
      <c r="J161" s="18" t="n"/>
      <c r="K161" s="18" t="n"/>
      <c r="L161" s="18" t="n"/>
      <c r="M161" s="18" t="n"/>
      <c r="N161" s="18" t="n"/>
    </row>
    <row r="162">
      <c r="A162" s="18" t="n"/>
      <c r="B162" s="18" t="n"/>
      <c r="C162" s="18" t="n"/>
      <c r="D162" s="18" t="n"/>
      <c r="E162" s="18" t="n"/>
      <c r="F162" s="18" t="inlineStr">
        <is>
          <t>Vc2  =</t>
        </is>
      </c>
      <c r="G162" s="18">
        <f>0.27*(2+40*MAX(J85,J89)/F45)*SQRT(K9)*F45*MAX(J85,J89)</f>
        <v/>
      </c>
      <c r="H162" s="18" t="inlineStr">
        <is>
          <t>Kg</t>
        </is>
      </c>
      <c r="I162" s="15" t="inlineStr">
        <is>
          <t>Vc  =</t>
        </is>
      </c>
      <c r="J162" s="16">
        <f>ROUND(MIN(G161,G162,G163),2)</f>
        <v/>
      </c>
      <c r="K162" s="30" t="inlineStr">
        <is>
          <t>Kg</t>
        </is>
      </c>
      <c r="L162" s="18" t="n"/>
      <c r="M162" s="18" t="n"/>
      <c r="N162" s="18" t="n"/>
    </row>
    <row r="163">
      <c r="A163" s="18" t="n"/>
      <c r="B163" s="18" t="n"/>
      <c r="C163" s="18" t="n"/>
      <c r="D163" s="18" t="n"/>
      <c r="E163" s="18" t="n"/>
      <c r="F163" s="18" t="inlineStr">
        <is>
          <t>Vc3  =</t>
        </is>
      </c>
      <c r="G163" s="18">
        <f>1.06*SQRT(K9)*F45*MAX(J85,J89)</f>
        <v/>
      </c>
      <c r="H163" s="18" t="inlineStr">
        <is>
          <t>Kg</t>
        </is>
      </c>
      <c r="I163" s="18" t="n"/>
      <c r="J163" s="18" t="n"/>
      <c r="K163" s="18" t="n"/>
      <c r="L163" s="18" t="n"/>
      <c r="M163" s="18" t="n"/>
      <c r="N163" s="18" t="n"/>
    </row>
    <row r="164">
      <c r="A164" s="18" t="n"/>
      <c r="B164" s="18" t="n"/>
      <c r="C164" s="18" t="n"/>
      <c r="D164" s="18" t="n"/>
      <c r="E164" s="18" t="n"/>
      <c r="F164" s="18" t="n"/>
      <c r="G164" s="18" t="n"/>
      <c r="H164" s="18" t="n"/>
      <c r="I164" s="18" t="n"/>
      <c r="J164" s="18" t="n"/>
      <c r="K164" s="18" t="n"/>
      <c r="L164" s="18" t="n"/>
      <c r="M164" s="18" t="n"/>
      <c r="N164" s="18" t="n"/>
    </row>
    <row r="165">
      <c r="A165" s="18" t="n"/>
      <c r="B165" s="18" t="n"/>
      <c r="C165" s="18" t="n"/>
      <c r="D165" s="18" t="n"/>
      <c r="E165" s="18" t="n"/>
      <c r="F165" s="28">
        <f>IF(K159&lt;=J162,"Vn &lt; Vc ……….(Conforme)","Vn &gt; Vc ……….(Aumentar Peralte o f'c)")</f>
        <v/>
      </c>
      <c r="G165" s="18" t="n"/>
      <c r="H165" s="18" t="n"/>
      <c r="I165" s="18" t="n"/>
      <c r="J165" s="18" t="n"/>
      <c r="K165" s="18" t="n"/>
      <c r="L165" s="18" t="n"/>
      <c r="M165" s="18" t="n"/>
      <c r="N165" s="18" t="n"/>
    </row>
    <row r="166">
      <c r="A166" s="18" t="n"/>
      <c r="B166" s="18" t="n"/>
      <c r="C166" s="18" t="n"/>
      <c r="D166" s="18" t="n"/>
      <c r="E166" s="18" t="n"/>
      <c r="F166" s="18" t="n"/>
      <c r="G166" s="18" t="n"/>
      <c r="H166" s="18" t="n"/>
      <c r="I166" s="18" t="n"/>
      <c r="J166" s="18" t="n"/>
      <c r="K166" s="18" t="n"/>
      <c r="L166" s="18" t="n"/>
      <c r="M166" s="18" t="n"/>
      <c r="N166" s="18" t="n"/>
    </row>
    <row r="167">
      <c r="A167" s="18" t="n"/>
      <c r="B167" s="18" t="n"/>
      <c r="C167" s="18" t="n"/>
      <c r="D167" s="18" t="n"/>
      <c r="E167" s="18" t="n"/>
      <c r="F167" s="18" t="n"/>
      <c r="G167" s="18" t="n"/>
      <c r="H167" s="18" t="n"/>
      <c r="I167" s="18" t="n"/>
      <c r="J167" s="18" t="n"/>
      <c r="K167" s="18" t="n"/>
      <c r="L167" s="18" t="n"/>
      <c r="M167" s="18" t="n"/>
      <c r="N167" s="18" t="n"/>
    </row>
    <row r="168">
      <c r="A168" s="18" t="n"/>
      <c r="B168" s="18" t="n"/>
      <c r="C168" s="18" t="n"/>
      <c r="D168" s="18" t="n"/>
      <c r="E168" s="18" t="n"/>
      <c r="F168" s="18" t="n"/>
      <c r="G168" s="18" t="n"/>
      <c r="H168" s="18" t="n"/>
      <c r="I168" s="18" t="n"/>
      <c r="J168" s="18" t="n"/>
      <c r="K168" s="18" t="n"/>
      <c r="L168" s="18" t="n"/>
      <c r="M168" s="18" t="n"/>
      <c r="N168" s="18" t="n"/>
    </row>
    <row r="169">
      <c r="A169" s="18" t="n"/>
      <c r="B169" s="18" t="n"/>
      <c r="C169" s="18" t="n"/>
      <c r="D169" s="18" t="n"/>
      <c r="E169" s="18" t="n"/>
      <c r="F169" s="18" t="n"/>
      <c r="G169" s="18" t="n"/>
      <c r="H169" s="18" t="n"/>
      <c r="I169" s="18" t="n"/>
      <c r="J169" s="18" t="n"/>
      <c r="K169" s="18" t="n"/>
      <c r="L169" s="18" t="n"/>
      <c r="M169" s="18" t="n"/>
      <c r="N169" s="18" t="n"/>
    </row>
    <row r="170">
      <c r="A170" s="18" t="n"/>
      <c r="B170" s="18" t="n"/>
      <c r="C170" s="18" t="n"/>
      <c r="D170" s="18" t="n"/>
      <c r="E170" s="18" t="n"/>
      <c r="F170" s="18" t="n"/>
      <c r="G170" s="18" t="n"/>
      <c r="H170" s="18" t="n"/>
      <c r="I170" s="18" t="n"/>
      <c r="J170" s="18" t="n"/>
      <c r="K170" s="18" t="n"/>
      <c r="L170" s="18" t="n"/>
      <c r="M170" s="18" t="n"/>
      <c r="N170" s="18" t="n"/>
    </row>
    <row r="171">
      <c r="A171" s="18" t="n"/>
      <c r="B171" s="18" t="n"/>
      <c r="C171" s="18" t="n"/>
      <c r="D171" s="18" t="n"/>
      <c r="E171" s="18" t="n"/>
      <c r="F171" s="18" t="n"/>
      <c r="G171" s="18" t="n"/>
      <c r="H171" s="18" t="n"/>
      <c r="I171" s="18" t="n"/>
      <c r="J171" s="18" t="n"/>
      <c r="K171" s="18" t="n"/>
      <c r="L171" s="18" t="n"/>
      <c r="M171" s="18" t="n"/>
      <c r="N171" s="18" t="n"/>
    </row>
    <row r="172">
      <c r="A172" s="18" t="n"/>
      <c r="B172" s="18" t="n"/>
      <c r="C172" s="18" t="n"/>
      <c r="D172" s="18" t="n"/>
      <c r="E172" s="18" t="n"/>
      <c r="F172" s="18" t="n"/>
      <c r="G172" s="18" t="n"/>
      <c r="H172" s="18" t="n"/>
      <c r="I172" s="18" t="n"/>
      <c r="J172" s="18" t="n"/>
      <c r="K172" s="18" t="n"/>
      <c r="L172" s="18" t="n"/>
      <c r="M172" s="18" t="n"/>
      <c r="N172" s="18" t="n"/>
    </row>
    <row r="173">
      <c r="A173" s="18" t="n"/>
      <c r="B173" s="18" t="n"/>
      <c r="C173" s="18" t="n"/>
      <c r="D173" s="18" t="n"/>
      <c r="E173" s="18" t="n"/>
      <c r="F173" s="18" t="n"/>
      <c r="G173" s="18" t="n"/>
      <c r="H173" s="18" t="n"/>
      <c r="I173" s="18" t="n"/>
      <c r="J173" s="18" t="n"/>
      <c r="K173" s="18" t="n"/>
      <c r="L173" s="18" t="n"/>
      <c r="M173" s="18" t="n"/>
      <c r="N173" s="18" t="n"/>
    </row>
    <row r="174">
      <c r="A174" s="18" t="n"/>
      <c r="B174" s="18" t="n"/>
      <c r="C174" s="18" t="n"/>
      <c r="D174" s="18" t="n"/>
      <c r="E174" s="18" t="n"/>
      <c r="F174" s="18" t="n"/>
      <c r="G174" s="18" t="n"/>
      <c r="H174" s="18" t="n"/>
      <c r="I174" s="18" t="n"/>
      <c r="J174" s="18" t="n"/>
      <c r="K174" s="18" t="n"/>
      <c r="L174" s="18" t="n"/>
      <c r="M174" s="18" t="n"/>
      <c r="N174" s="18" t="n"/>
    </row>
    <row r="175">
      <c r="A175" s="18" t="n"/>
      <c r="B175" s="18" t="n"/>
      <c r="C175" s="18" t="n"/>
      <c r="D175" s="18" t="n"/>
      <c r="E175" s="18" t="n"/>
      <c r="F175" s="18" t="n"/>
      <c r="G175" s="18" t="n"/>
      <c r="H175" s="18" t="n"/>
      <c r="I175" s="18" t="n"/>
      <c r="J175" s="18" t="n"/>
      <c r="K175" s="18" t="n"/>
      <c r="L175" s="18" t="n"/>
      <c r="M175" s="18" t="n"/>
      <c r="N175" s="18" t="n"/>
    </row>
    <row r="176">
      <c r="A176" s="18" t="n"/>
      <c r="B176" s="18" t="n"/>
      <c r="C176" s="18" t="n"/>
      <c r="D176" s="18" t="n"/>
      <c r="E176" s="18" t="n"/>
      <c r="F176" s="18" t="n"/>
      <c r="G176" s="18" t="n"/>
      <c r="H176" s="18" t="n"/>
      <c r="I176" s="18" t="n"/>
      <c r="J176" s="18" t="n"/>
      <c r="K176" s="18" t="n"/>
      <c r="L176" s="18" t="n"/>
      <c r="M176" s="18" t="n"/>
      <c r="N176" s="18" t="n"/>
    </row>
    <row r="177">
      <c r="A177" s="18" t="n"/>
      <c r="B177" s="18" t="n"/>
      <c r="C177" s="18" t="n"/>
      <c r="D177" s="18" t="n"/>
      <c r="E177" s="18" t="n"/>
      <c r="F177" s="18" t="n"/>
      <c r="G177" s="18" t="n"/>
      <c r="H177" s="18" t="n"/>
      <c r="I177" s="18" t="n"/>
      <c r="J177" s="18" t="n"/>
      <c r="K177" s="18" t="n"/>
      <c r="L177" s="18" t="n"/>
      <c r="M177" s="18" t="n"/>
      <c r="N177" s="18" t="n"/>
    </row>
    <row r="178">
      <c r="A178" s="18" t="n"/>
      <c r="B178" s="18" t="n"/>
      <c r="C178" s="18" t="n"/>
      <c r="D178" s="18" t="n"/>
      <c r="E178" s="18" t="n"/>
      <c r="F178" s="18" t="n"/>
      <c r="G178" s="18" t="n"/>
      <c r="H178" s="18" t="n"/>
      <c r="I178" s="18" t="n"/>
      <c r="J178" s="18" t="n"/>
      <c r="K178" s="18" t="n"/>
      <c r="L178" s="18" t="n"/>
      <c r="M178" s="18" t="n"/>
      <c r="N178" s="18" t="n"/>
    </row>
    <row r="179">
      <c r="A179" s="18" t="n"/>
      <c r="B179" s="18" t="inlineStr">
        <is>
          <t>5°</t>
        </is>
      </c>
      <c r="C179" s="18" t="inlineStr">
        <is>
          <t>Diseño por Flexión</t>
        </is>
      </c>
      <c r="D179" s="18" t="n"/>
      <c r="E179" s="18" t="n"/>
      <c r="F179" s="18" t="n"/>
      <c r="G179" s="18" t="n"/>
      <c r="H179" s="20" t="inlineStr">
        <is>
          <t>φ  =</t>
        </is>
      </c>
      <c r="I179" s="21">
        <f>HLOOKUP(E2,Parametros!B2:C5,2,FALSE)</f>
        <v/>
      </c>
      <c r="J179" s="18" t="n"/>
      <c r="K179" s="18" t="n"/>
      <c r="L179" s="18" t="n"/>
      <c r="M179" s="18" t="n"/>
      <c r="N179" s="18" t="n"/>
    </row>
    <row r="180">
      <c r="A180" s="18" t="n"/>
      <c r="B180" s="18" t="n"/>
      <c r="C180" s="18" t="n"/>
      <c r="D180" s="18" t="n"/>
      <c r="E180" s="18" t="n"/>
      <c r="F180" s="18" t="n"/>
      <c r="G180" s="18" t="n"/>
      <c r="H180" s="18" t="n"/>
      <c r="I180" s="18" t="n"/>
      <c r="J180" s="18" t="n"/>
      <c r="K180" s="18" t="n"/>
      <c r="L180" s="18" t="n"/>
      <c r="M180" s="18" t="n"/>
      <c r="N180" s="18" t="n"/>
    </row>
    <row r="181">
      <c r="A181" s="18" t="n"/>
      <c r="B181" s="18" t="n"/>
      <c r="C181" s="18" t="n"/>
      <c r="D181" s="18" t="n"/>
      <c r="E181" s="18" t="n"/>
      <c r="F181" s="18" t="n"/>
      <c r="G181" s="18" t="n"/>
      <c r="H181" s="18" t="n"/>
      <c r="I181" s="18" t="n"/>
      <c r="J181" s="18" t="n"/>
      <c r="K181" s="18" t="n"/>
      <c r="L181" s="18" t="n"/>
      <c r="M181" s="18" t="n"/>
      <c r="N181" s="18" t="n"/>
    </row>
    <row r="182">
      <c r="A182" s="18" t="n"/>
      <c r="B182" s="18" t="n"/>
      <c r="C182" s="18" t="n"/>
      <c r="D182" s="18" t="n"/>
      <c r="E182" s="18" t="n"/>
      <c r="F182" s="18" t="n"/>
      <c r="G182" s="18" t="n"/>
      <c r="H182" s="18" t="n"/>
      <c r="I182" s="18" t="n"/>
      <c r="J182" s="18" t="n"/>
      <c r="K182" s="18" t="n"/>
      <c r="L182" s="18" t="n"/>
      <c r="M182" s="18" t="n"/>
      <c r="N182" s="18" t="n"/>
    </row>
    <row r="183">
      <c r="A183" s="18" t="n"/>
      <c r="B183" s="18" t="n"/>
      <c r="C183" s="18" t="n"/>
      <c r="D183" s="18" t="n"/>
      <c r="E183" s="18" t="n"/>
      <c r="F183" s="18" t="n"/>
      <c r="G183" s="18" t="n"/>
      <c r="H183" s="18" t="n"/>
      <c r="I183" s="18" t="n"/>
      <c r="J183" s="18" t="n"/>
      <c r="K183" s="18" t="n"/>
      <c r="L183" s="18" t="n"/>
      <c r="M183" s="18" t="n"/>
      <c r="N183" s="18" t="n"/>
    </row>
    <row r="184">
      <c r="A184" s="18" t="n"/>
      <c r="B184" s="18" t="n"/>
      <c r="C184" s="18" t="n"/>
      <c r="D184" s="18" t="n"/>
      <c r="E184" s="18" t="n"/>
      <c r="F184" s="18" t="n"/>
      <c r="G184" s="18" t="n"/>
      <c r="H184" s="18" t="n"/>
      <c r="I184" s="18" t="n"/>
      <c r="J184" s="18" t="n"/>
      <c r="K184" s="18" t="n"/>
      <c r="L184" s="18" t="n"/>
      <c r="M184" s="18" t="n"/>
      <c r="N184" s="18" t="n"/>
    </row>
    <row r="185">
      <c r="A185" s="18" t="n"/>
      <c r="B185" s="18" t="n"/>
      <c r="C185" s="30" t="inlineStr">
        <is>
          <t>● Refuerzo Superior</t>
        </is>
      </c>
      <c r="D185" s="18" t="n"/>
      <c r="E185" s="18" t="n"/>
      <c r="F185" s="138" t="inlineStr">
        <is>
          <t>Mu  =</t>
        </is>
      </c>
      <c r="G185" s="54">
        <f>ABS(J78)</f>
        <v/>
      </c>
      <c r="H185" s="18" t="inlineStr">
        <is>
          <t>Kg-m</t>
        </is>
      </c>
      <c r="I185" s="18" t="n"/>
      <c r="J185" s="138" t="inlineStr">
        <is>
          <t>As  =</t>
        </is>
      </c>
      <c r="K185" s="54">
        <f>ROUND(MAX(G187:G188)*F45*J85,2)</f>
        <v/>
      </c>
      <c r="L185" s="18" t="inlineStr">
        <is>
          <t>cm2</t>
        </is>
      </c>
      <c r="M185" s="18" t="n"/>
      <c r="N185" s="18" t="n"/>
      <c r="O185" s="18" t="n"/>
    </row>
    <row r="186">
      <c r="A186" s="18" t="n"/>
      <c r="B186" s="18" t="n"/>
      <c r="C186" s="18" t="n"/>
      <c r="D186" s="18" t="n"/>
      <c r="E186" s="18" t="n"/>
      <c r="F186" s="138" t="inlineStr">
        <is>
          <t>Ru  =</t>
        </is>
      </c>
      <c r="G186" s="54">
        <f>ROUND(G185*100/(F45*J85^2),2)</f>
        <v/>
      </c>
      <c r="H186" s="18" t="inlineStr">
        <is>
          <t>Kg/cm2</t>
        </is>
      </c>
      <c r="I186" s="18" t="n"/>
      <c r="J186" s="138" t="inlineStr">
        <is>
          <t>Av  =</t>
        </is>
      </c>
      <c r="K186" s="54">
        <f>VLOOKUP(F86,Parametros!E2:G6,3,FALSE)</f>
        <v/>
      </c>
      <c r="L186" s="18" t="inlineStr">
        <is>
          <t>cm2</t>
        </is>
      </c>
      <c r="M186" s="18" t="n"/>
      <c r="N186" s="18" t="n"/>
      <c r="O186" s="18" t="n"/>
    </row>
    <row r="187">
      <c r="A187" s="18" t="n"/>
      <c r="B187" s="18" t="n"/>
      <c r="C187" s="18" t="n"/>
      <c r="D187" s="18" t="n"/>
      <c r="E187" s="18" t="n"/>
      <c r="F187" s="138" t="inlineStr">
        <is>
          <t>ρ  =</t>
        </is>
      </c>
      <c r="G187" s="54">
        <f>(100*I179*K9*K10-SQRT((100*I179*K9*K10)^2-23600*G186*I179*K9*K10^2))/(118*I179*K10^2)</f>
        <v/>
      </c>
      <c r="H187" s="18" t="n"/>
      <c r="I187" s="18" t="n"/>
      <c r="J187" s="138" t="inlineStr">
        <is>
          <t># var  =</t>
        </is>
      </c>
      <c r="K187" s="54">
        <f>ROUND(K185/K186,2)</f>
        <v/>
      </c>
      <c r="L187" s="18" t="n"/>
      <c r="M187" s="31" t="n">
        <v>14</v>
      </c>
      <c r="N187" s="18" t="inlineStr">
        <is>
          <t>Varillas</t>
        </is>
      </c>
    </row>
    <row r="188">
      <c r="A188" s="18" t="n"/>
      <c r="B188" s="18" t="n"/>
      <c r="C188" s="18" t="n"/>
      <c r="D188" s="18" t="n"/>
      <c r="E188" s="18" t="n"/>
      <c r="F188" s="138" t="inlineStr">
        <is>
          <t>ρmin  =</t>
        </is>
      </c>
      <c r="G188" s="54" t="n">
        <v>0.0018</v>
      </c>
      <c r="H188" s="18" t="n"/>
      <c r="I188" s="18" t="n"/>
      <c r="J188" s="138" t="inlineStr">
        <is>
          <t>Esp.  S  =</t>
        </is>
      </c>
      <c r="K188" s="54">
        <f>ROUND((F45-MAX(F85,F88)-VLOOKUP(F86,Parametros!E2:G6,2,FALSE))/(M187-1),1)</f>
        <v/>
      </c>
      <c r="L188" s="18" t="n"/>
      <c r="M188" s="18" t="n"/>
      <c r="N188" s="18" t="n"/>
      <c r="O188" s="18" t="n"/>
    </row>
    <row r="189">
      <c r="A189" s="18" t="n"/>
      <c r="B189" s="18" t="n"/>
      <c r="C189" s="18" t="n"/>
      <c r="D189" s="18" t="n"/>
      <c r="E189" s="18" t="n"/>
      <c r="F189" s="18" t="n"/>
      <c r="G189" s="18" t="n"/>
      <c r="H189" s="18" t="n"/>
      <c r="I189" s="18" t="n"/>
      <c r="J189" s="18" t="n"/>
      <c r="K189" s="18" t="n"/>
      <c r="L189" s="18" t="n"/>
      <c r="M189" s="18" t="n"/>
      <c r="N189" s="18" t="n"/>
    </row>
    <row r="190">
      <c r="A190" s="18" t="n"/>
      <c r="B190" s="18" t="n"/>
      <c r="C190" s="18" t="n"/>
      <c r="D190" s="18" t="n"/>
      <c r="E190" s="18" t="n"/>
      <c r="F190" s="18" t="n"/>
      <c r="G190" s="135">
        <f>CONCATENATE("Usar ",M187," φ ",F86," @ ",K188," cm")</f>
        <v/>
      </c>
      <c r="K190" s="18" t="n"/>
      <c r="L190" s="18" t="n"/>
      <c r="M190" s="18" t="n"/>
      <c r="N190" s="18" t="n"/>
    </row>
    <row r="191">
      <c r="A191" s="18" t="n"/>
      <c r="B191" s="18" t="n"/>
      <c r="C191" s="18" t="n"/>
      <c r="D191" s="18" t="n"/>
      <c r="E191" s="18" t="n"/>
      <c r="F191" s="18" t="n"/>
      <c r="G191" s="18" t="n"/>
      <c r="H191" s="18" t="n"/>
      <c r="I191" s="18" t="n"/>
      <c r="J191" s="18" t="n"/>
      <c r="K191" s="18" t="n"/>
      <c r="L191" s="18" t="n"/>
      <c r="M191" s="18" t="n"/>
      <c r="N191" s="18" t="n"/>
    </row>
    <row r="192">
      <c r="A192" s="18" t="n"/>
      <c r="B192" s="18" t="n"/>
      <c r="C192" s="30" t="inlineStr">
        <is>
          <t>● Refuerzo Inferior</t>
        </is>
      </c>
      <c r="D192" s="18" t="n"/>
      <c r="E192" s="18" t="n"/>
      <c r="F192" s="138" t="inlineStr">
        <is>
          <t>Mu  =</t>
        </is>
      </c>
      <c r="G192" s="54">
        <f>D54*0.5*(D44)^2</f>
        <v/>
      </c>
      <c r="H192" s="18" t="inlineStr">
        <is>
          <t>Kg-m</t>
        </is>
      </c>
      <c r="I192" s="18" t="n"/>
      <c r="J192" s="138" t="inlineStr">
        <is>
          <t>As  =</t>
        </is>
      </c>
      <c r="K192" s="54">
        <f>ROUND(MAX(G194:G195)*F45*J89,2)</f>
        <v/>
      </c>
      <c r="L192" s="18" t="inlineStr">
        <is>
          <t>cm2</t>
        </is>
      </c>
      <c r="M192" s="18" t="n"/>
      <c r="N192" s="18" t="n"/>
      <c r="O192" s="18" t="n"/>
    </row>
    <row r="193">
      <c r="A193" s="18" t="n"/>
      <c r="B193" s="18" t="n"/>
      <c r="C193" s="18" t="n"/>
      <c r="D193" s="18" t="n"/>
      <c r="E193" s="18" t="n"/>
      <c r="F193" s="138" t="inlineStr">
        <is>
          <t>Ru  =</t>
        </is>
      </c>
      <c r="G193" s="54">
        <f>ROUND(G192*100/(F45*J89^2),2)</f>
        <v/>
      </c>
      <c r="H193" s="18" t="inlineStr">
        <is>
          <t>Kg/cm2</t>
        </is>
      </c>
      <c r="I193" s="18" t="n"/>
      <c r="J193" s="138" t="inlineStr">
        <is>
          <t>Av  =</t>
        </is>
      </c>
      <c r="K193" s="54">
        <f>VLOOKUP(F89,Parametros!E2:G6,3,FALSE)</f>
        <v/>
      </c>
      <c r="L193" s="18" t="inlineStr">
        <is>
          <t>cm2</t>
        </is>
      </c>
      <c r="M193" s="18" t="n"/>
      <c r="N193" s="18" t="n"/>
      <c r="O193" s="18" t="n"/>
    </row>
    <row r="194">
      <c r="A194" s="18" t="n"/>
      <c r="B194" s="18" t="n"/>
      <c r="C194" s="18" t="n"/>
      <c r="D194" s="18" t="n"/>
      <c r="E194" s="18" t="n"/>
      <c r="F194" s="138" t="inlineStr">
        <is>
          <t>ρ  =</t>
        </is>
      </c>
      <c r="G194" s="54">
        <f>(100*I179*K9*K10-SQRT((100*I179*K9*K10)^2-23600*I179*G193*K9*K10^2))/(118*I179*K10^2)</f>
        <v/>
      </c>
      <c r="H194" s="18" t="n"/>
      <c r="I194" s="18" t="n"/>
      <c r="J194" s="138" t="inlineStr">
        <is>
          <t># var  =</t>
        </is>
      </c>
      <c r="K194" s="54">
        <f>ROUND(K192/K193,2)</f>
        <v/>
      </c>
      <c r="L194" s="18" t="n"/>
      <c r="M194" s="31" t="n">
        <v>13</v>
      </c>
      <c r="N194" s="18" t="inlineStr">
        <is>
          <t>Varillas</t>
        </is>
      </c>
    </row>
    <row r="195">
      <c r="A195" s="18" t="n"/>
      <c r="B195" s="18" t="n"/>
      <c r="C195" s="18" t="n"/>
      <c r="D195" s="18" t="n"/>
      <c r="E195" s="18" t="n"/>
      <c r="F195" s="138" t="inlineStr">
        <is>
          <t>ρmin  =</t>
        </is>
      </c>
      <c r="G195" s="54" t="n">
        <v>0.0018</v>
      </c>
      <c r="H195" s="18" t="n"/>
      <c r="I195" s="18" t="n"/>
      <c r="J195" s="138" t="inlineStr">
        <is>
          <t>Esp.  S  =</t>
        </is>
      </c>
      <c r="K195" s="54">
        <f>ROUND((F45-MAX(F85,F88)-VLOOKUP(F86,Parametros!E2:G6,2,FALSE))/(M194-1),1)</f>
        <v/>
      </c>
      <c r="L195" s="18" t="n"/>
      <c r="M195" s="18" t="n"/>
      <c r="N195" s="18" t="n"/>
      <c r="O195" s="18" t="n"/>
    </row>
    <row r="196">
      <c r="A196" s="18" t="n"/>
      <c r="B196" s="18" t="n"/>
      <c r="C196" s="18" t="n"/>
      <c r="D196" s="18" t="n"/>
      <c r="E196" s="18" t="n"/>
      <c r="F196" s="18" t="n"/>
      <c r="G196" s="135">
        <f>CONCATENATE("Usar ",M194," φ ",F89," @ ",K195," cm")</f>
        <v/>
      </c>
      <c r="K196" s="18" t="n"/>
      <c r="L196" s="18" t="n"/>
      <c r="M196" s="18" t="n"/>
      <c r="N196" s="18" t="n"/>
    </row>
    <row r="197">
      <c r="A197" s="18" t="n"/>
      <c r="B197" s="18" t="n"/>
      <c r="C197" s="18" t="n"/>
      <c r="D197" s="18" t="n"/>
      <c r="E197" s="18" t="n"/>
      <c r="F197" s="18" t="n"/>
      <c r="G197" s="18" t="n"/>
      <c r="H197" s="18" t="n"/>
      <c r="I197" s="18" t="n"/>
      <c r="J197" s="18" t="n"/>
      <c r="K197" s="18" t="n"/>
      <c r="L197" s="18" t="n"/>
      <c r="M197" s="18" t="n"/>
      <c r="N197" s="18" t="n"/>
    </row>
    <row r="198">
      <c r="A198" s="18" t="n"/>
      <c r="B198" s="18" t="inlineStr">
        <is>
          <t>6°</t>
        </is>
      </c>
      <c r="C198" s="18" t="inlineStr">
        <is>
          <t>Diseño en Dirección Transversal</t>
        </is>
      </c>
      <c r="D198" s="18" t="n"/>
      <c r="E198" s="18" t="n"/>
      <c r="F198" s="18" t="n"/>
      <c r="G198" s="18" t="n"/>
      <c r="H198" s="18" t="n"/>
      <c r="I198" s="18" t="n"/>
      <c r="J198" s="18" t="n"/>
      <c r="K198" s="18" t="n"/>
      <c r="L198" s="18" t="n"/>
      <c r="M198" s="18" t="n"/>
      <c r="N198" s="18" t="n"/>
    </row>
    <row r="199">
      <c r="A199" s="18" t="n"/>
      <c r="B199" s="18" t="n"/>
      <c r="C199" s="18" t="n"/>
      <c r="D199" s="18" t="n"/>
      <c r="E199" s="18" t="n"/>
      <c r="F199" s="18" t="n"/>
      <c r="G199" s="18" t="n"/>
      <c r="H199" s="18" t="n"/>
      <c r="I199" s="18" t="n"/>
      <c r="J199" s="18" t="n"/>
      <c r="K199" s="18" t="n"/>
      <c r="L199" s="18" t="n"/>
      <c r="M199" s="18" t="n"/>
      <c r="N199" s="18" t="n"/>
    </row>
    <row r="200">
      <c r="A200" s="18" t="n"/>
      <c r="B200" s="18" t="n"/>
      <c r="C200" s="138" t="inlineStr">
        <is>
          <t>b1  =</t>
        </is>
      </c>
      <c r="D200" s="54">
        <f>ROUND(C7*100+J85/2,2)</f>
        <v/>
      </c>
      <c r="E200" s="18" t="inlineStr">
        <is>
          <t>cm</t>
        </is>
      </c>
      <c r="F200" s="18" t="n"/>
      <c r="G200" s="38" t="n">
        <v>92</v>
      </c>
      <c r="H200" s="38" t="inlineStr">
        <is>
          <t>cm</t>
        </is>
      </c>
      <c r="I200" s="18" t="n"/>
      <c r="J200" s="18" t="n"/>
      <c r="K200" s="18" t="n"/>
      <c r="L200" s="18" t="n"/>
      <c r="M200" s="18" t="n"/>
      <c r="N200" s="18" t="n"/>
    </row>
    <row r="201">
      <c r="A201" s="18" t="n"/>
      <c r="B201" s="18" t="n"/>
      <c r="C201" s="138" t="inlineStr">
        <is>
          <t>b2  =</t>
        </is>
      </c>
      <c r="D201" s="54">
        <f>ROUND(F7*100+MAX(J85,J89),2)</f>
        <v/>
      </c>
      <c r="E201" s="18" t="inlineStr">
        <is>
          <t>cm</t>
        </is>
      </c>
      <c r="F201" s="18" t="n"/>
      <c r="G201" s="38" t="n">
        <v>150</v>
      </c>
      <c r="H201" s="38" t="inlineStr">
        <is>
          <t>cm</t>
        </is>
      </c>
      <c r="I201" s="18" t="n"/>
      <c r="J201" s="18" t="n"/>
      <c r="K201" s="18" t="n"/>
      <c r="L201" s="18" t="n"/>
      <c r="M201" s="18" t="n"/>
      <c r="N201" s="18" t="n"/>
    </row>
    <row r="202">
      <c r="A202" s="18" t="n"/>
      <c r="B202" s="18" t="n"/>
      <c r="C202" s="18" t="n"/>
      <c r="D202" s="18" t="n"/>
      <c r="E202" s="18" t="n"/>
      <c r="F202" s="18" t="n"/>
      <c r="G202" s="18" t="n"/>
      <c r="H202" s="18" t="n"/>
      <c r="I202" s="18" t="n"/>
      <c r="J202" s="18" t="n"/>
      <c r="K202" s="18" t="n"/>
      <c r="L202" s="18" t="n"/>
      <c r="M202" s="18" t="n"/>
      <c r="N202" s="18" t="n"/>
    </row>
    <row r="203">
      <c r="A203" s="18" t="n"/>
      <c r="B203" s="18" t="n"/>
      <c r="C203" s="18" t="n"/>
      <c r="D203" s="18" t="n"/>
      <c r="E203" s="18" t="n"/>
      <c r="F203" s="18" t="n"/>
      <c r="G203" s="18" t="n"/>
      <c r="H203" s="18" t="n"/>
      <c r="I203" s="18" t="n"/>
      <c r="J203" s="18" t="n"/>
      <c r="K203" s="18" t="n"/>
      <c r="L203" s="18" t="n"/>
      <c r="M203" s="18" t="n"/>
      <c r="N203" s="18" t="n"/>
    </row>
    <row r="204">
      <c r="A204" s="18" t="n"/>
      <c r="B204" s="18" t="n"/>
      <c r="C204" s="18" t="n"/>
      <c r="D204" s="18" t="n"/>
      <c r="E204" s="18" t="n"/>
      <c r="F204" s="18" t="n"/>
      <c r="G204" s="18" t="n"/>
      <c r="H204" s="18" t="n"/>
      <c r="I204" s="18" t="n"/>
      <c r="J204" s="18" t="n"/>
      <c r="K204" s="18" t="n"/>
      <c r="L204" s="18" t="n"/>
      <c r="M204" s="18" t="n"/>
      <c r="N204" s="18" t="n"/>
    </row>
    <row r="205">
      <c r="A205" s="18" t="n"/>
      <c r="B205" s="18" t="n"/>
      <c r="C205" s="18" t="n"/>
      <c r="D205" s="18" t="n"/>
      <c r="E205" s="18" t="n"/>
      <c r="F205" s="18" t="n"/>
      <c r="G205" s="18" t="n"/>
      <c r="H205" s="18" t="n"/>
      <c r="I205" s="18" t="n"/>
      <c r="J205" s="18" t="n"/>
      <c r="K205" s="18" t="n"/>
      <c r="L205" s="18" t="n"/>
      <c r="M205" s="18" t="n"/>
      <c r="N205" s="18" t="n"/>
    </row>
    <row r="206">
      <c r="A206" s="18" t="n"/>
      <c r="B206" s="18" t="n"/>
      <c r="C206" s="18" t="n"/>
      <c r="D206" s="18" t="n"/>
      <c r="E206" s="18" t="n"/>
      <c r="F206" s="18" t="n"/>
      <c r="G206" s="18" t="n"/>
      <c r="H206" s="18" t="n"/>
      <c r="I206" s="18" t="n"/>
      <c r="J206" s="18" t="n"/>
      <c r="K206" s="18" t="n"/>
      <c r="L206" s="18" t="n"/>
      <c r="M206" s="18" t="n"/>
      <c r="N206" s="18" t="n"/>
    </row>
    <row r="207">
      <c r="A207" s="18" t="n"/>
      <c r="B207" s="18" t="n"/>
      <c r="C207" s="18" t="n"/>
      <c r="D207" s="18" t="n"/>
      <c r="E207" s="18" t="n"/>
      <c r="F207" s="18" t="n"/>
      <c r="G207" s="18" t="n"/>
      <c r="H207" s="18" t="n"/>
      <c r="I207" s="18" t="n"/>
      <c r="J207" s="18" t="n"/>
      <c r="K207" s="18" t="n"/>
      <c r="L207" s="18" t="n"/>
      <c r="M207" s="18" t="n"/>
      <c r="N207" s="18" t="n"/>
    </row>
    <row r="208">
      <c r="A208" s="18" t="n"/>
      <c r="B208" s="18" t="n"/>
      <c r="C208" s="18" t="n"/>
      <c r="D208" s="18" t="n"/>
      <c r="E208" s="18" t="n"/>
      <c r="F208" s="18" t="n"/>
      <c r="G208" s="18" t="n"/>
      <c r="H208" s="18" t="n"/>
      <c r="I208" s="18" t="n"/>
      <c r="J208" s="18" t="n"/>
      <c r="K208" s="18" t="n"/>
      <c r="L208" s="18" t="n"/>
      <c r="M208" s="18" t="n"/>
      <c r="N208" s="18" t="n"/>
    </row>
    <row r="209">
      <c r="A209" s="18" t="n"/>
      <c r="B209" s="18" t="n"/>
      <c r="C209" s="18" t="n"/>
      <c r="D209" s="18" t="n"/>
      <c r="E209" s="18" t="n"/>
      <c r="F209" s="18" t="n"/>
      <c r="G209" s="18" t="n"/>
      <c r="H209" s="18" t="n"/>
      <c r="I209" s="18" t="n"/>
      <c r="J209" s="18" t="n"/>
      <c r="K209" s="18" t="n"/>
      <c r="L209" s="18" t="n"/>
      <c r="M209" s="18" t="n"/>
      <c r="N209" s="18" t="n"/>
    </row>
    <row r="210">
      <c r="A210" s="18" t="n"/>
      <c r="B210" s="18" t="n"/>
      <c r="C210" s="18" t="n"/>
      <c r="D210" s="18" t="n"/>
      <c r="E210" s="18" t="n"/>
      <c r="F210" s="18" t="n"/>
      <c r="G210" s="18" t="n"/>
      <c r="H210" s="18" t="n"/>
      <c r="I210" s="18" t="n"/>
      <c r="J210" s="18" t="n"/>
      <c r="K210" s="18" t="n"/>
      <c r="L210" s="18" t="n"/>
      <c r="M210" s="18" t="n"/>
      <c r="N210" s="18" t="n"/>
    </row>
    <row r="211">
      <c r="A211" s="18" t="n"/>
      <c r="B211" s="18" t="n"/>
      <c r="C211" s="18" t="n"/>
      <c r="D211" s="18" t="n"/>
      <c r="E211" s="18" t="n"/>
      <c r="F211" s="18" t="n"/>
      <c r="G211" s="18" t="n"/>
      <c r="H211" s="18" t="n"/>
      <c r="I211" s="18" t="n"/>
      <c r="J211" s="18" t="n"/>
      <c r="K211" s="18" t="n"/>
      <c r="L211" s="18" t="n"/>
      <c r="M211" s="18" t="n"/>
      <c r="N211" s="18" t="n"/>
    </row>
    <row r="212">
      <c r="A212" s="18" t="n"/>
      <c r="B212" s="18" t="n"/>
      <c r="C212" s="30" t="inlineStr">
        <is>
          <t>● Zapata Exterior</t>
        </is>
      </c>
      <c r="D212" s="18" t="n"/>
      <c r="E212" s="18" t="n"/>
      <c r="F212" s="18" t="n"/>
      <c r="G212" s="18" t="n"/>
      <c r="H212" s="18" t="n"/>
      <c r="I212" s="18" t="n"/>
      <c r="J212" s="18" t="n"/>
      <c r="K212" s="18" t="n"/>
      <c r="L212" s="18" t="n"/>
      <c r="M212" s="18" t="n"/>
      <c r="N212" s="18" t="n"/>
    </row>
    <row r="213">
      <c r="A213" s="18" t="n"/>
      <c r="B213" s="18" t="n"/>
      <c r="C213" s="18" t="n"/>
      <c r="D213" s="18" t="n"/>
      <c r="E213" s="18" t="n"/>
      <c r="F213" s="18" t="n"/>
      <c r="G213" s="18" t="n"/>
      <c r="H213" s="18" t="n"/>
      <c r="I213" s="18" t="n"/>
      <c r="J213" s="18" t="n"/>
      <c r="K213" s="18" t="n"/>
      <c r="L213" s="18" t="n"/>
      <c r="M213" s="18" t="n"/>
      <c r="N213" s="18" t="n"/>
    </row>
    <row r="214">
      <c r="A214" s="18" t="n"/>
      <c r="B214" s="18" t="n"/>
      <c r="C214" s="18" t="n"/>
      <c r="D214" s="138" t="inlineStr">
        <is>
          <t>qNU  =</t>
        </is>
      </c>
      <c r="E214" s="54">
        <f>D52*100/F45</f>
        <v/>
      </c>
      <c r="F214" s="18" t="inlineStr">
        <is>
          <t>Kg/m</t>
        </is>
      </c>
      <c r="G214" s="18" t="n"/>
      <c r="H214" s="18" t="n"/>
      <c r="I214" s="18" t="inlineStr">
        <is>
          <t>Diámetro de Varilla  φ:</t>
        </is>
      </c>
      <c r="J214" s="18" t="n"/>
      <c r="K214" s="18" t="inlineStr">
        <is>
          <t>3/4"</t>
        </is>
      </c>
      <c r="L214" s="18" t="n"/>
      <c r="M214" s="18" t="n"/>
      <c r="N214" s="18" t="n"/>
    </row>
    <row r="215">
      <c r="A215" s="18" t="n"/>
      <c r="B215" s="18" t="n"/>
      <c r="C215" s="18" t="n"/>
      <c r="D215" s="138" t="inlineStr">
        <is>
          <t>Mu  =</t>
        </is>
      </c>
      <c r="E215" s="18">
        <f>0.5*E214*(0.5*(F45/100-C8))^2</f>
        <v/>
      </c>
      <c r="F215" s="18" t="inlineStr">
        <is>
          <t>Kg-m</t>
        </is>
      </c>
      <c r="G215" s="18" t="n"/>
      <c r="H215" s="18" t="n"/>
      <c r="I215" s="18" t="n"/>
      <c r="J215" s="138" t="inlineStr">
        <is>
          <t>Av  =</t>
        </is>
      </c>
      <c r="K215" s="54">
        <f>VLOOKUP(K214,Parametros!E2:G6,3,FALSE)</f>
        <v/>
      </c>
      <c r="L215" s="18" t="inlineStr">
        <is>
          <t>cm2</t>
        </is>
      </c>
      <c r="M215" s="18" t="n"/>
      <c r="N215" s="18" t="n"/>
    </row>
    <row r="216">
      <c r="A216" s="18" t="n"/>
      <c r="B216" s="18" t="n"/>
      <c r="C216" s="18" t="n"/>
      <c r="D216" s="138" t="inlineStr">
        <is>
          <t>Ru  =</t>
        </is>
      </c>
      <c r="E216" s="54">
        <f>ROUND(E215*100/(G200*J85^2),2)</f>
        <v/>
      </c>
      <c r="F216" s="18" t="inlineStr">
        <is>
          <t>Kg/cm2</t>
        </is>
      </c>
      <c r="G216" s="18" t="n"/>
      <c r="H216" s="18" t="n"/>
      <c r="I216" s="18" t="n"/>
      <c r="J216" s="138" t="inlineStr">
        <is>
          <t># var  =</t>
        </is>
      </c>
      <c r="K216" s="54">
        <f>ROUND(E219/K215,2)</f>
        <v/>
      </c>
      <c r="L216" s="18" t="n"/>
      <c r="M216" s="31" t="n">
        <v>5</v>
      </c>
      <c r="N216" s="18" t="inlineStr">
        <is>
          <t>Varillas</t>
        </is>
      </c>
    </row>
    <row r="217">
      <c r="A217" s="18" t="n"/>
      <c r="B217" s="18" t="n"/>
      <c r="C217" s="18" t="n"/>
      <c r="D217" s="138" t="inlineStr">
        <is>
          <t>ρ  =</t>
        </is>
      </c>
      <c r="E217" s="54">
        <f>(100*I179*K9*K10-SQRT((100*I179*K9*K10)^2-23600*I179*E216*K9*K10^2))/(118*I179*K10^2)</f>
        <v/>
      </c>
      <c r="F217" s="18" t="n"/>
      <c r="G217" s="18" t="n"/>
      <c r="H217" s="18" t="n"/>
      <c r="I217" s="18" t="n"/>
      <c r="J217" s="138" t="inlineStr">
        <is>
          <t>Esp.  S  =</t>
        </is>
      </c>
      <c r="K217" s="54">
        <f>ROUND((G200-(2*MAX(F85,F88)+VLOOKUP(K214,Parametros!E2:G6,2,FALSE)))/(M216-1),1)</f>
        <v/>
      </c>
      <c r="L217" s="18" t="inlineStr">
        <is>
          <t>cm</t>
        </is>
      </c>
      <c r="M217" s="18" t="n"/>
      <c r="N217" s="18" t="n"/>
    </row>
    <row r="218">
      <c r="A218" s="18" t="n"/>
      <c r="B218" s="18" t="n"/>
      <c r="C218" s="18" t="n"/>
      <c r="D218" s="138" t="inlineStr">
        <is>
          <t>ρmin  =</t>
        </is>
      </c>
      <c r="E218" s="54" t="n">
        <v>0.0018</v>
      </c>
      <c r="F218" s="18" t="n"/>
      <c r="G218" s="18" t="n"/>
      <c r="H218" s="18" t="n"/>
      <c r="I218" s="18" t="n"/>
      <c r="J218" s="18" t="n"/>
      <c r="K218" s="18" t="n"/>
      <c r="L218" s="18" t="n"/>
      <c r="M218" s="18" t="n"/>
      <c r="N218" s="18" t="n"/>
    </row>
    <row r="219">
      <c r="A219" s="18" t="n"/>
      <c r="B219" s="18" t="n"/>
      <c r="C219" s="18" t="n"/>
      <c r="D219" s="138" t="inlineStr">
        <is>
          <t>As  =</t>
        </is>
      </c>
      <c r="E219" s="54">
        <f>ROUND(MAX(E217,E218)*G200*J85,2)</f>
        <v/>
      </c>
      <c r="F219" s="18" t="inlineStr">
        <is>
          <t>cm2</t>
        </is>
      </c>
      <c r="G219" s="18" t="n"/>
      <c r="H219" s="18" t="n"/>
      <c r="I219" s="135">
        <f>CONCATENATE("Usar ",M216," φ ",K214," @ ",K217," cm")</f>
        <v/>
      </c>
      <c r="L219" s="18" t="n"/>
      <c r="M219" s="18" t="n"/>
      <c r="N219" s="18" t="n"/>
    </row>
    <row r="220">
      <c r="A220" s="18" t="n"/>
      <c r="B220" s="18" t="n"/>
      <c r="C220" s="18" t="n"/>
      <c r="D220" s="18" t="n"/>
      <c r="E220" s="54" t="n"/>
      <c r="F220" s="18" t="n"/>
      <c r="G220" s="18" t="n"/>
      <c r="H220" s="18" t="n"/>
      <c r="I220" s="18" t="n"/>
      <c r="J220" s="18" t="n"/>
      <c r="K220" s="18" t="n"/>
      <c r="L220" s="18" t="n"/>
      <c r="M220" s="18" t="n"/>
      <c r="N220" s="18" t="n"/>
      <c r="O220" s="18" t="n"/>
    </row>
    <row r="221">
      <c r="A221" s="18" t="n"/>
      <c r="B221" s="18" t="n"/>
      <c r="C221" s="18" t="n"/>
      <c r="D221" s="30" t="inlineStr">
        <is>
          <t>Refuerzo por Montaje:</t>
        </is>
      </c>
      <c r="E221" s="54" t="n"/>
      <c r="F221" s="18" t="n"/>
      <c r="G221" s="18" t="n"/>
      <c r="H221" s="18" t="n"/>
      <c r="I221" s="18" t="n"/>
      <c r="J221" s="18" t="n"/>
      <c r="K221" s="18" t="n"/>
      <c r="L221" s="18" t="n"/>
      <c r="M221" s="18" t="n"/>
      <c r="N221" s="18" t="n"/>
    </row>
    <row r="222">
      <c r="A222" s="18" t="n"/>
      <c r="B222" s="18" t="n"/>
      <c r="C222" s="18" t="n"/>
      <c r="D222" s="18" t="n"/>
      <c r="E222" s="54" t="n"/>
      <c r="F222" s="18" t="n"/>
      <c r="G222" s="138" t="inlineStr">
        <is>
          <t>s  =</t>
        </is>
      </c>
      <c r="H222" s="54">
        <f>36*VLOOKUP(K214,Parametros!E2:G6,2,FALSE)</f>
        <v/>
      </c>
      <c r="I222" s="18" t="inlineStr">
        <is>
          <t>cm</t>
        </is>
      </c>
      <c r="J222" s="18" t="n"/>
      <c r="K222" s="18" t="n"/>
      <c r="L222" s="18" t="n"/>
      <c r="M222" s="18" t="n"/>
      <c r="N222" s="18" t="n"/>
    </row>
    <row r="223">
      <c r="A223" s="18" t="n"/>
      <c r="B223" s="18" t="n"/>
      <c r="C223" s="18" t="n"/>
      <c r="D223" s="18" t="n"/>
      <c r="E223" s="18" t="n"/>
      <c r="F223" s="18" t="n"/>
      <c r="G223" s="138" t="inlineStr">
        <is>
          <t># var  =</t>
        </is>
      </c>
      <c r="H223" s="31" t="n">
        <v>5</v>
      </c>
      <c r="I223" s="18" t="inlineStr">
        <is>
          <t>varillas</t>
        </is>
      </c>
      <c r="J223" s="135">
        <f>CONCATENATE("Usar ",H223," φ ","3/8¨¨ @ ",H224," cm")</f>
        <v/>
      </c>
      <c r="M223" s="18" t="n"/>
      <c r="N223" s="18" t="n"/>
    </row>
    <row r="224">
      <c r="A224" s="18" t="n"/>
      <c r="B224" s="18" t="n"/>
      <c r="C224" s="18" t="n"/>
      <c r="D224" s="18" t="n"/>
      <c r="E224" s="18" t="n"/>
      <c r="F224" s="18" t="n"/>
      <c r="G224" s="138" t="inlineStr">
        <is>
          <t>Esp.  S  =</t>
        </is>
      </c>
      <c r="H224" s="18">
        <f>ROUND((F45-20)/(H223-1),1)</f>
        <v/>
      </c>
      <c r="I224" s="18" t="inlineStr">
        <is>
          <t>cm</t>
        </is>
      </c>
      <c r="J224" s="18" t="n"/>
      <c r="K224" s="18" t="n"/>
      <c r="L224" s="18" t="n"/>
      <c r="M224" s="18" t="n"/>
      <c r="N224" s="18" t="n"/>
    </row>
    <row r="225">
      <c r="A225" s="18" t="n"/>
      <c r="B225" s="18" t="n"/>
      <c r="C225" s="18" t="n"/>
      <c r="D225" s="18" t="n"/>
      <c r="E225" s="18" t="n"/>
      <c r="F225" s="18" t="n"/>
      <c r="G225" s="18" t="n"/>
      <c r="H225" s="18" t="n"/>
      <c r="I225" s="18" t="n"/>
      <c r="J225" s="18" t="n"/>
      <c r="K225" s="18" t="n"/>
      <c r="L225" s="18" t="n"/>
      <c r="M225" s="18" t="n"/>
      <c r="N225" s="18" t="n"/>
    </row>
    <row r="226">
      <c r="A226" s="18" t="n"/>
      <c r="B226" s="18" t="n"/>
      <c r="C226" s="30" t="inlineStr">
        <is>
          <t>● Zapata Interior</t>
        </is>
      </c>
      <c r="D226" s="18" t="n"/>
      <c r="E226" s="18" t="n"/>
      <c r="F226" s="18" t="n"/>
      <c r="G226" s="18" t="n"/>
      <c r="H226" s="18" t="n"/>
      <c r="I226" s="18" t="n"/>
      <c r="J226" s="18" t="n"/>
      <c r="K226" s="18" t="n"/>
      <c r="L226" s="18" t="n"/>
      <c r="M226" s="18" t="n"/>
      <c r="N226" s="18" t="n"/>
    </row>
    <row r="227">
      <c r="A227" s="18" t="n"/>
      <c r="B227" s="18" t="n"/>
      <c r="C227" s="18" t="n"/>
      <c r="D227" s="18" t="n"/>
      <c r="E227" s="18" t="n"/>
      <c r="F227" s="18" t="n"/>
      <c r="G227" s="18" t="n"/>
      <c r="H227" s="18" t="n"/>
      <c r="I227" s="18" t="n"/>
      <c r="J227" s="18" t="n"/>
      <c r="K227" s="18" t="n"/>
      <c r="L227" s="18" t="n"/>
      <c r="M227" s="18" t="n"/>
      <c r="N227" s="18" t="n"/>
    </row>
    <row r="228">
      <c r="A228" s="18" t="n"/>
      <c r="B228" s="18" t="n"/>
      <c r="C228" s="18" t="n"/>
      <c r="D228" s="138" t="inlineStr">
        <is>
          <t>qNU  =</t>
        </is>
      </c>
      <c r="E228" s="54">
        <f>D53*100/F45</f>
        <v/>
      </c>
      <c r="F228" s="18" t="inlineStr">
        <is>
          <t>Kg/m</t>
        </is>
      </c>
      <c r="G228" s="18" t="n"/>
      <c r="H228" s="18" t="n"/>
      <c r="I228" s="18" t="inlineStr">
        <is>
          <t>Diámetro de Varilla  φ:</t>
        </is>
      </c>
      <c r="J228" s="18" t="n"/>
      <c r="K228" s="18" t="inlineStr">
        <is>
          <t>1/2"</t>
        </is>
      </c>
      <c r="L228" s="18" t="n"/>
      <c r="M228" s="18" t="n"/>
      <c r="N228" s="18" t="n"/>
    </row>
    <row r="229">
      <c r="A229" s="18" t="n"/>
      <c r="B229" s="18" t="n"/>
      <c r="C229" s="18" t="n"/>
      <c r="D229" s="138" t="inlineStr">
        <is>
          <t>Mu  =</t>
        </is>
      </c>
      <c r="E229" s="54">
        <f>0.5*E228*(0.5*(F45/100-F8))^2</f>
        <v/>
      </c>
      <c r="F229" s="18" t="inlineStr">
        <is>
          <t>Kg-m</t>
        </is>
      </c>
      <c r="G229" s="18" t="n"/>
      <c r="H229" s="18" t="n"/>
      <c r="I229" s="18" t="n"/>
      <c r="J229" s="138" t="inlineStr">
        <is>
          <t>Av  =</t>
        </is>
      </c>
      <c r="K229" s="54">
        <f>VLOOKUP(K228,Parametros!E2:G6,3,FALSE)</f>
        <v/>
      </c>
      <c r="L229" s="18" t="inlineStr">
        <is>
          <t>cm2</t>
        </is>
      </c>
      <c r="M229" s="18" t="n"/>
      <c r="N229" s="18" t="n"/>
    </row>
    <row r="230">
      <c r="A230" s="18" t="n"/>
      <c r="B230" s="18" t="n"/>
      <c r="C230" s="18" t="n"/>
      <c r="D230" s="138" t="inlineStr">
        <is>
          <t>Ru  =</t>
        </is>
      </c>
      <c r="E230" s="54">
        <f>ROUND(E229*100/(G201*MAX(J85,J89)^2),2)</f>
        <v/>
      </c>
      <c r="F230" s="18" t="inlineStr">
        <is>
          <t>Kg/cm2</t>
        </is>
      </c>
      <c r="G230" s="18" t="n"/>
      <c r="H230" s="18" t="n"/>
      <c r="I230" s="18" t="n"/>
      <c r="J230" s="138" t="inlineStr">
        <is>
          <t># var  =</t>
        </is>
      </c>
      <c r="K230" s="54">
        <f>ROUND(E233/K229,2)</f>
        <v/>
      </c>
      <c r="L230" s="18" t="n"/>
      <c r="M230" s="31" t="n">
        <v>18</v>
      </c>
      <c r="N230" s="18" t="inlineStr">
        <is>
          <t>Varillas</t>
        </is>
      </c>
    </row>
    <row r="231">
      <c r="A231" s="18" t="n"/>
      <c r="B231" s="18" t="n"/>
      <c r="C231" s="18" t="n"/>
      <c r="D231" s="138" t="inlineStr">
        <is>
          <t>ρ  =</t>
        </is>
      </c>
      <c r="E231" s="54">
        <f>(100*I179*K9*K10-SQRT((100*I179*K9*K10)^2-23600*I179*E230*K9*K10^2))/(118*I179*K10^2)</f>
        <v/>
      </c>
      <c r="F231" s="18" t="n"/>
      <c r="G231" s="18" t="n"/>
      <c r="H231" s="18" t="n"/>
      <c r="I231" s="18" t="n"/>
      <c r="J231" s="138" t="inlineStr">
        <is>
          <t>Esp.  S  =</t>
        </is>
      </c>
      <c r="K231" s="54">
        <f>ROUND((G201-(2*MAX(F85,F88)+VLOOKUP(K228,Parametros!E2:G6,2,FALSE)))/(M230-1),1)</f>
        <v/>
      </c>
      <c r="L231" s="18" t="inlineStr">
        <is>
          <t>cm</t>
        </is>
      </c>
      <c r="M231" s="18" t="n"/>
      <c r="N231" s="18" t="n"/>
    </row>
    <row r="232">
      <c r="A232" s="18" t="n"/>
      <c r="B232" s="18" t="n"/>
      <c r="C232" s="18" t="n"/>
      <c r="D232" s="138" t="inlineStr">
        <is>
          <t>ρmin  =</t>
        </is>
      </c>
      <c r="E232" s="54" t="n">
        <v>0.0018</v>
      </c>
      <c r="F232" s="18" t="n"/>
      <c r="G232" s="18" t="n"/>
      <c r="H232" s="18" t="n"/>
      <c r="I232" s="18" t="n"/>
      <c r="J232" s="18" t="n"/>
      <c r="K232" s="18" t="n"/>
      <c r="L232" s="18" t="n"/>
      <c r="M232" s="18" t="n"/>
      <c r="N232" s="18" t="n"/>
    </row>
    <row r="233">
      <c r="A233" s="18" t="n"/>
      <c r="B233" s="18" t="n"/>
      <c r="C233" s="18" t="n"/>
      <c r="D233" s="138" t="inlineStr">
        <is>
          <t>As  =</t>
        </is>
      </c>
      <c r="E233" s="54">
        <f>ROUND(MAX(E231:E232)*G201*MAX(J85,J89),2)</f>
        <v/>
      </c>
      <c r="F233" s="18" t="inlineStr">
        <is>
          <t>cm2</t>
        </is>
      </c>
      <c r="G233" s="18" t="n"/>
      <c r="H233" s="18" t="n"/>
      <c r="I233" s="135">
        <f>CONCATENATE("Usar ",M230," φ ",K228," @ ",K231," cm")</f>
        <v/>
      </c>
      <c r="L233" s="18" t="n"/>
      <c r="M233" s="18" t="n"/>
      <c r="N233" s="18" t="n"/>
    </row>
    <row r="234">
      <c r="A234" s="18" t="n"/>
      <c r="B234" s="18" t="n"/>
      <c r="C234" s="18" t="n"/>
      <c r="D234" s="18" t="n"/>
      <c r="E234" s="18" t="n"/>
      <c r="F234" s="18" t="n"/>
      <c r="G234" s="18" t="n"/>
      <c r="H234" s="18" t="n"/>
      <c r="I234" s="18" t="n"/>
      <c r="J234" s="18" t="n"/>
      <c r="K234" s="18" t="n"/>
      <c r="L234" s="18" t="n"/>
      <c r="M234" s="18" t="n"/>
      <c r="N234" s="18" t="n"/>
    </row>
    <row r="235">
      <c r="A235" s="18" t="n"/>
      <c r="B235" s="18" t="n"/>
      <c r="C235" s="18" t="n"/>
      <c r="D235" s="18" t="n"/>
      <c r="E235" s="18" t="n"/>
      <c r="F235" s="18" t="n"/>
      <c r="G235" s="18" t="n"/>
      <c r="H235" s="18" t="n"/>
      <c r="I235" s="18" t="n"/>
      <c r="J235" s="18" t="n"/>
      <c r="K235" s="18" t="n"/>
      <c r="L235" s="18" t="n"/>
      <c r="M235" s="18" t="n"/>
      <c r="N235" s="18" t="n"/>
    </row>
    <row r="236">
      <c r="A236" s="18" t="n"/>
      <c r="B236" s="18" t="n"/>
      <c r="C236" s="18" t="n"/>
      <c r="D236" s="18" t="n"/>
      <c r="E236" s="18" t="n"/>
      <c r="F236" s="18" t="n"/>
      <c r="G236" s="18" t="n"/>
      <c r="H236" s="18" t="n"/>
      <c r="I236" s="18" t="n"/>
      <c r="J236" s="18" t="n"/>
      <c r="K236" s="18" t="n"/>
      <c r="L236" s="18" t="n"/>
      <c r="M236" s="18" t="n"/>
      <c r="N236" s="18" t="n"/>
    </row>
    <row r="237">
      <c r="B237" s="44" t="n"/>
      <c r="C237" s="44" t="n"/>
      <c r="D237" s="44" t="n"/>
      <c r="E237" s="44" t="n"/>
      <c r="F237" s="44" t="n"/>
      <c r="G237" s="44" t="n"/>
      <c r="H237" s="44" t="n"/>
      <c r="I237" s="44" t="n"/>
      <c r="J237" s="44" t="n"/>
      <c r="K237" s="44" t="n"/>
      <c r="L237" s="44" t="n"/>
      <c r="M237" s="44" t="n"/>
      <c r="N237" s="44" t="n"/>
    </row>
    <row r="238">
      <c r="B238" s="44" t="n"/>
      <c r="C238" s="44" t="n"/>
      <c r="D238" s="44" t="n"/>
      <c r="E238" s="44" t="n"/>
      <c r="F238" s="44" t="n"/>
      <c r="G238" s="44" t="n"/>
      <c r="H238" s="44" t="n"/>
      <c r="I238" s="44" t="n"/>
      <c r="J238" s="44" t="n"/>
      <c r="K238" s="44" t="n"/>
      <c r="L238" s="44" t="n"/>
      <c r="M238" s="44" t="n"/>
      <c r="N238" s="44" t="n"/>
    </row>
    <row r="239">
      <c r="B239" s="44" t="n"/>
      <c r="C239" s="44" t="n"/>
      <c r="D239" s="44" t="n"/>
      <c r="E239" s="44" t="n"/>
      <c r="F239" s="44" t="n"/>
      <c r="G239" s="44" t="n"/>
      <c r="H239" s="44" t="n"/>
      <c r="I239" s="44" t="n"/>
      <c r="J239" s="44" t="n"/>
      <c r="K239" s="44" t="n"/>
      <c r="L239" s="44" t="n"/>
      <c r="M239" s="44" t="n"/>
      <c r="N239" s="44" t="n"/>
    </row>
    <row r="240">
      <c r="B240" s="44" t="n"/>
      <c r="C240" s="44" t="n"/>
      <c r="D240" s="44" t="n"/>
      <c r="E240" s="44" t="n"/>
      <c r="F240" s="44" t="n"/>
      <c r="G240" s="44" t="n"/>
      <c r="H240" s="44" t="n"/>
      <c r="I240" s="44" t="n"/>
      <c r="J240" s="44" t="n"/>
      <c r="K240" s="44" t="n"/>
      <c r="L240" s="44" t="n"/>
      <c r="M240" s="44" t="n"/>
      <c r="N240" s="44" t="n"/>
    </row>
    <row r="241">
      <c r="B241" s="44" t="n"/>
      <c r="C241" s="44" t="n"/>
      <c r="D241" s="44" t="n"/>
      <c r="E241" s="44" t="n"/>
      <c r="F241" s="44" t="n"/>
      <c r="G241" s="44" t="n"/>
      <c r="H241" s="44" t="n"/>
      <c r="I241" s="44" t="n"/>
      <c r="J241" s="44" t="n"/>
      <c r="K241" s="44" t="n"/>
      <c r="L241" s="44" t="n"/>
      <c r="M241" s="44" t="n"/>
      <c r="N241" s="44" t="n"/>
    </row>
    <row r="242">
      <c r="B242" s="44" t="n"/>
      <c r="C242" s="44" t="n"/>
      <c r="D242" s="44" t="n"/>
      <c r="E242" s="44" t="n"/>
      <c r="F242" s="44" t="n"/>
      <c r="G242" s="44" t="n"/>
      <c r="H242" s="44" t="n"/>
      <c r="I242" s="44" t="n"/>
      <c r="J242" s="44" t="n"/>
      <c r="K242" s="44" t="n"/>
      <c r="L242" s="44" t="n"/>
      <c r="M242" s="44" t="n"/>
      <c r="N242" s="44" t="n"/>
    </row>
    <row r="243">
      <c r="B243" s="44" t="n"/>
      <c r="C243" s="44" t="n"/>
      <c r="D243" s="44" t="n"/>
      <c r="E243" s="44" t="n"/>
      <c r="F243" s="44" t="n"/>
      <c r="G243" s="44" t="n"/>
      <c r="H243" s="44" t="n"/>
      <c r="I243" s="44" t="n"/>
      <c r="J243" s="44" t="n"/>
      <c r="K243" s="44" t="n"/>
      <c r="L243" s="44" t="n"/>
      <c r="M243" s="44" t="n"/>
      <c r="N243" s="44" t="n"/>
    </row>
    <row r="244">
      <c r="B244" s="44" t="n"/>
      <c r="C244" s="44" t="n"/>
      <c r="D244" s="44" t="n"/>
      <c r="E244" s="44" t="n"/>
      <c r="F244" s="44" t="n"/>
      <c r="G244" s="44" t="n"/>
      <c r="H244" s="44" t="n"/>
      <c r="I244" s="44" t="n"/>
      <c r="J244" s="44" t="n"/>
      <c r="K244" s="44" t="n"/>
      <c r="L244" s="44" t="n"/>
      <c r="M244" s="44" t="n"/>
      <c r="N244" s="44" t="n"/>
    </row>
    <row r="245">
      <c r="B245" s="44" t="n"/>
      <c r="C245" s="44" t="n"/>
      <c r="D245" s="44" t="n"/>
      <c r="E245" s="44" t="n"/>
      <c r="F245" s="44" t="n"/>
      <c r="G245" s="44" t="n"/>
      <c r="H245" s="44" t="n"/>
      <c r="I245" s="44" t="n"/>
      <c r="J245" s="44" t="n"/>
      <c r="K245" s="44" t="n"/>
      <c r="L245" s="44" t="n"/>
      <c r="M245" s="44" t="n"/>
      <c r="N245" s="44" t="n"/>
    </row>
    <row r="246">
      <c r="B246" s="44" t="n"/>
      <c r="C246" s="44" t="n"/>
      <c r="D246" s="44" t="n"/>
      <c r="E246" s="44" t="n"/>
      <c r="F246" s="44" t="n"/>
      <c r="G246" s="44" t="n"/>
      <c r="H246" s="44" t="n"/>
      <c r="I246" s="44" t="n"/>
      <c r="J246" s="44" t="n"/>
      <c r="K246" s="44" t="n"/>
      <c r="L246" s="44" t="n"/>
      <c r="M246" s="44" t="n"/>
      <c r="N246" s="44" t="n"/>
    </row>
    <row r="247">
      <c r="B247" s="44" t="n"/>
      <c r="C247" s="44" t="n"/>
      <c r="D247" s="44" t="n"/>
      <c r="E247" s="44" t="n"/>
      <c r="F247" s="44" t="n"/>
      <c r="G247" s="44" t="n"/>
      <c r="H247" s="44" t="n"/>
      <c r="I247" s="44" t="n"/>
      <c r="J247" s="44" t="n"/>
      <c r="K247" s="44" t="n"/>
      <c r="L247" s="44" t="n"/>
      <c r="M247" s="44" t="n"/>
      <c r="N247" s="44" t="n"/>
    </row>
    <row r="248">
      <c r="B248" s="44" t="n"/>
      <c r="C248" s="44" t="n"/>
      <c r="D248" s="44" t="n"/>
      <c r="E248" s="44" t="n"/>
      <c r="F248" s="44" t="n"/>
      <c r="G248" s="44" t="n"/>
      <c r="H248" s="44" t="n"/>
      <c r="I248" s="44" t="n"/>
      <c r="J248" s="44" t="n"/>
      <c r="K248" s="44" t="n"/>
      <c r="L248" s="44" t="n"/>
      <c r="M248" s="44" t="n"/>
      <c r="N248" s="44" t="n"/>
    </row>
    <row r="249">
      <c r="B249" s="44" t="n"/>
      <c r="C249" s="44" t="n"/>
      <c r="D249" s="44" t="n"/>
      <c r="E249" s="44" t="n"/>
      <c r="F249" s="44" t="n"/>
      <c r="G249" s="44" t="n"/>
      <c r="H249" s="44" t="n"/>
      <c r="I249" s="44" t="n"/>
      <c r="J249" s="44" t="n"/>
      <c r="K249" s="44" t="n"/>
      <c r="L249" s="44" t="n"/>
      <c r="M249" s="44" t="n"/>
      <c r="N249" s="44" t="n"/>
    </row>
    <row r="250">
      <c r="B250" s="44" t="n"/>
      <c r="C250" s="44" t="n"/>
      <c r="D250" s="44" t="n"/>
      <c r="E250" s="44" t="n"/>
      <c r="F250" s="44" t="n"/>
      <c r="G250" s="44" t="n"/>
      <c r="H250" s="44" t="n"/>
      <c r="I250" s="44" t="n"/>
      <c r="J250" s="44" t="n"/>
      <c r="K250" s="44" t="n"/>
      <c r="L250" s="44" t="n"/>
      <c r="M250" s="44" t="n"/>
      <c r="N250" s="44" t="n"/>
    </row>
    <row r="251">
      <c r="B251" s="44" t="n"/>
      <c r="C251" s="44" t="n"/>
      <c r="D251" s="44" t="n"/>
      <c r="E251" s="44" t="n"/>
      <c r="F251" s="44" t="n"/>
      <c r="G251" s="44" t="n"/>
      <c r="H251" s="44" t="n"/>
      <c r="I251" s="44" t="n"/>
      <c r="J251" s="44" t="n"/>
      <c r="K251" s="44" t="n"/>
      <c r="L251" s="44" t="n"/>
      <c r="M251" s="44" t="n"/>
      <c r="N251" s="44" t="n"/>
    </row>
    <row r="252">
      <c r="B252" s="44" t="n"/>
      <c r="C252" s="44" t="n"/>
      <c r="D252" s="44" t="n"/>
      <c r="E252" s="44" t="n"/>
      <c r="F252" s="44" t="n"/>
      <c r="G252" s="44" t="n"/>
      <c r="H252" s="44" t="n"/>
      <c r="I252" s="44" t="n"/>
      <c r="J252" s="44" t="n"/>
      <c r="K252" s="44" t="n"/>
      <c r="L252" s="44" t="n"/>
      <c r="M252" s="44" t="n"/>
      <c r="N252" s="44" t="n"/>
    </row>
    <row r="253">
      <c r="B253" s="44" t="n"/>
      <c r="C253" s="44" t="n"/>
      <c r="D253" s="44" t="n"/>
      <c r="E253" s="44" t="n"/>
      <c r="F253" s="44" t="n"/>
      <c r="G253" s="44" t="n"/>
      <c r="H253" s="44" t="n"/>
      <c r="I253" s="44" t="n"/>
      <c r="J253" s="44" t="n"/>
      <c r="K253" s="44" t="n"/>
      <c r="L253" s="44" t="n"/>
      <c r="M253" s="44" t="n"/>
      <c r="N253" s="44" t="n"/>
    </row>
    <row r="254">
      <c r="B254" s="44" t="n"/>
      <c r="C254" s="44" t="n"/>
      <c r="D254" s="44" t="n"/>
      <c r="E254" s="44" t="n"/>
      <c r="F254" s="44" t="n"/>
      <c r="G254" s="44" t="n"/>
      <c r="H254" s="44" t="n"/>
      <c r="I254" s="44" t="n"/>
      <c r="J254" s="44" t="n"/>
      <c r="K254" s="44" t="n"/>
      <c r="L254" s="44" t="n"/>
      <c r="M254" s="44" t="n"/>
      <c r="N254" s="44" t="n"/>
    </row>
    <row r="255">
      <c r="B255" s="44" t="n"/>
      <c r="C255" s="44" t="n"/>
      <c r="D255" s="44" t="n"/>
      <c r="E255" s="44" t="n"/>
      <c r="F255" s="44" t="n"/>
      <c r="G255" s="44" t="n"/>
      <c r="H255" s="44" t="n"/>
      <c r="I255" s="44" t="n"/>
      <c r="J255" s="44" t="n"/>
      <c r="K255" s="44" t="n"/>
      <c r="L255" s="44" t="n"/>
      <c r="M255" s="44" t="n"/>
      <c r="N255" s="44" t="n"/>
    </row>
    <row r="256">
      <c r="B256" s="44" t="n"/>
      <c r="C256" s="44" t="n"/>
      <c r="D256" s="44" t="n"/>
      <c r="E256" s="44" t="n"/>
      <c r="F256" s="44" t="n"/>
      <c r="G256" s="44" t="n"/>
      <c r="H256" s="44" t="n"/>
      <c r="I256" s="44" t="n"/>
      <c r="J256" s="44" t="n"/>
      <c r="K256" s="44" t="n"/>
      <c r="L256" s="44" t="n"/>
      <c r="M256" s="44" t="n"/>
      <c r="N256" s="44" t="n"/>
    </row>
    <row r="257">
      <c r="B257" s="44" t="n"/>
      <c r="C257" s="44" t="n"/>
      <c r="D257" s="44" t="n"/>
      <c r="E257" s="44" t="n"/>
      <c r="F257" s="44" t="n"/>
      <c r="G257" s="44" t="n"/>
      <c r="H257" s="44" t="n"/>
      <c r="I257" s="44" t="n"/>
      <c r="J257" s="44" t="n"/>
      <c r="K257" s="44" t="n"/>
      <c r="L257" s="44" t="n"/>
      <c r="M257" s="44" t="n"/>
      <c r="N257" s="44" t="n"/>
    </row>
    <row r="258">
      <c r="B258" s="44" t="n"/>
      <c r="C258" s="44" t="n"/>
      <c r="D258" s="44" t="n"/>
      <c r="E258" s="44" t="n"/>
      <c r="F258" s="44" t="n"/>
      <c r="G258" s="44" t="n"/>
      <c r="H258" s="44" t="n"/>
      <c r="I258" s="44" t="n"/>
      <c r="J258" s="44" t="n"/>
      <c r="K258" s="44" t="n"/>
      <c r="L258" s="44" t="n"/>
      <c r="M258" s="44" t="n"/>
      <c r="N258" s="44" t="n"/>
    </row>
    <row r="259">
      <c r="B259" s="44" t="n"/>
      <c r="C259" s="44" t="n"/>
      <c r="D259" s="44" t="n"/>
      <c r="E259" s="44" t="n"/>
      <c r="F259" s="44" t="n"/>
      <c r="G259" s="44" t="n"/>
      <c r="H259" s="44" t="n"/>
      <c r="I259" s="44" t="n"/>
      <c r="J259" s="44" t="n"/>
      <c r="K259" s="44" t="n"/>
      <c r="L259" s="44" t="n"/>
      <c r="M259" s="44" t="n"/>
      <c r="N259" s="44" t="n"/>
    </row>
    <row r="260">
      <c r="B260" s="44" t="n"/>
      <c r="C260" s="44" t="n"/>
      <c r="D260" s="44" t="n"/>
      <c r="E260" s="44" t="n"/>
      <c r="F260" s="44" t="n"/>
      <c r="G260" s="44" t="n"/>
      <c r="H260" s="44" t="n"/>
      <c r="I260" s="44" t="n"/>
      <c r="J260" s="44" t="n"/>
      <c r="K260" s="44" t="n"/>
      <c r="L260" s="44" t="n"/>
      <c r="M260" s="44" t="n"/>
      <c r="N260" s="44" t="n"/>
    </row>
    <row r="261">
      <c r="B261" s="44" t="n"/>
      <c r="C261" s="44" t="n"/>
      <c r="D261" s="44" t="n"/>
      <c r="E261" s="44" t="n"/>
      <c r="F261" s="44" t="n"/>
      <c r="G261" s="44" t="n"/>
      <c r="H261" s="44" t="n"/>
      <c r="I261" s="44" t="n"/>
      <c r="J261" s="44" t="n"/>
      <c r="K261" s="44" t="n"/>
      <c r="L261" s="44" t="n"/>
      <c r="M261" s="44" t="n"/>
      <c r="N261" s="44" t="n"/>
    </row>
    <row r="262">
      <c r="B262" s="44" t="n"/>
      <c r="C262" s="44" t="n"/>
      <c r="D262" s="44" t="n"/>
      <c r="E262" s="44" t="n"/>
      <c r="F262" s="44" t="n"/>
      <c r="G262" s="44" t="n"/>
      <c r="H262" s="44" t="n"/>
      <c r="I262" s="44" t="n"/>
      <c r="J262" s="44" t="n"/>
      <c r="K262" s="44" t="n"/>
      <c r="L262" s="44" t="n"/>
      <c r="M262" s="44" t="n"/>
      <c r="N262" s="44" t="n"/>
    </row>
    <row r="263">
      <c r="B263" s="44" t="n"/>
      <c r="C263" s="44" t="n"/>
      <c r="D263" s="44" t="n"/>
      <c r="E263" s="44" t="n"/>
      <c r="F263" s="44" t="n"/>
      <c r="G263" s="44" t="n"/>
      <c r="H263" s="44" t="n"/>
      <c r="I263" s="44" t="n"/>
      <c r="J263" s="44" t="n"/>
      <c r="K263" s="44" t="n"/>
      <c r="L263" s="44" t="n"/>
      <c r="M263" s="44" t="n"/>
      <c r="N263" s="44" t="n"/>
    </row>
    <row r="264">
      <c r="B264" s="44" t="n"/>
      <c r="C264" s="44" t="n"/>
      <c r="D264" s="44" t="n"/>
      <c r="E264" s="44" t="n"/>
      <c r="F264" s="44" t="n"/>
      <c r="G264" s="44" t="n"/>
      <c r="H264" s="44" t="n"/>
      <c r="I264" s="44" t="n"/>
      <c r="J264" s="44" t="n"/>
      <c r="K264" s="44" t="n"/>
      <c r="L264" s="44" t="n"/>
      <c r="M264" s="44" t="n"/>
      <c r="N264" s="44" t="n"/>
    </row>
    <row r="265">
      <c r="B265" s="44" t="n"/>
      <c r="C265" s="44" t="n"/>
      <c r="D265" s="44" t="n"/>
      <c r="E265" s="44" t="n"/>
      <c r="F265" s="44" t="n"/>
      <c r="G265" s="44" t="n"/>
      <c r="H265" s="44" t="n"/>
      <c r="I265" s="44" t="n"/>
      <c r="J265" s="44" t="n"/>
      <c r="K265" s="44" t="n"/>
      <c r="L265" s="44" t="n"/>
      <c r="M265" s="44" t="n"/>
      <c r="N265" s="44" t="n"/>
    </row>
    <row r="266">
      <c r="B266" s="44" t="n"/>
      <c r="C266" s="44" t="n"/>
      <c r="D266" s="44" t="n"/>
      <c r="E266" s="44" t="n"/>
      <c r="F266" s="44" t="n"/>
      <c r="G266" s="44" t="n"/>
      <c r="H266" s="44" t="n"/>
      <c r="I266" s="44" t="n"/>
      <c r="J266" s="44" t="n"/>
      <c r="K266" s="44" t="n"/>
      <c r="L266" s="44" t="n"/>
      <c r="M266" s="44" t="n"/>
      <c r="N266" s="44" t="n"/>
    </row>
    <row r="267">
      <c r="B267" s="44" t="n"/>
      <c r="C267" s="44" t="n"/>
      <c r="D267" s="44" t="n"/>
      <c r="E267" s="44" t="n"/>
      <c r="F267" s="44" t="n"/>
      <c r="G267" s="44" t="n"/>
      <c r="H267" s="44" t="n"/>
      <c r="I267" s="44" t="n"/>
      <c r="J267" s="44" t="n"/>
      <c r="K267" s="44" t="n"/>
      <c r="L267" s="44" t="n"/>
      <c r="M267" s="44" t="n"/>
      <c r="N267" s="44" t="n"/>
    </row>
    <row r="268">
      <c r="B268" s="44" t="n"/>
      <c r="C268" s="44" t="n"/>
      <c r="D268" s="44" t="n"/>
      <c r="E268" s="44" t="n"/>
      <c r="F268" s="44" t="n"/>
      <c r="G268" s="44" t="n"/>
      <c r="H268" s="44" t="n"/>
      <c r="I268" s="44" t="n"/>
      <c r="J268" s="44" t="n"/>
      <c r="K268" s="44" t="n"/>
      <c r="L268" s="44" t="n"/>
      <c r="M268" s="44" t="n"/>
      <c r="N268" s="44" t="n"/>
    </row>
    <row r="269">
      <c r="B269" s="44" t="n"/>
      <c r="C269" s="44" t="n"/>
      <c r="D269" s="44" t="n"/>
      <c r="E269" s="44" t="n"/>
      <c r="F269" s="44" t="n"/>
      <c r="G269" s="44" t="n"/>
      <c r="H269" s="44" t="n"/>
      <c r="I269" s="44" t="n"/>
      <c r="J269" s="44" t="n"/>
      <c r="K269" s="44" t="n"/>
      <c r="L269" s="44" t="n"/>
      <c r="M269" s="44" t="n"/>
      <c r="N269" s="44" t="n"/>
    </row>
    <row r="270">
      <c r="B270" s="44" t="n"/>
      <c r="C270" s="44" t="n"/>
      <c r="D270" s="44" t="n"/>
      <c r="E270" s="44" t="n"/>
      <c r="F270" s="44" t="n"/>
      <c r="G270" s="44" t="n"/>
      <c r="H270" s="44" t="n"/>
      <c r="I270" s="44" t="n"/>
      <c r="J270" s="44" t="n"/>
      <c r="K270" s="44" t="n"/>
      <c r="L270" s="44" t="n"/>
      <c r="M270" s="44" t="n"/>
      <c r="N270" s="44" t="n"/>
    </row>
    <row r="271">
      <c r="B271" s="44" t="n"/>
      <c r="C271" s="44" t="n"/>
      <c r="D271" s="44" t="n"/>
      <c r="E271" s="44" t="n"/>
      <c r="F271" s="44" t="n"/>
      <c r="G271" s="44" t="n"/>
      <c r="H271" s="44" t="n"/>
      <c r="I271" s="44" t="n"/>
      <c r="J271" s="44" t="n"/>
      <c r="K271" s="44" t="n"/>
      <c r="L271" s="44" t="n"/>
      <c r="M271" s="44" t="n"/>
      <c r="N271" s="44" t="n"/>
    </row>
    <row r="272">
      <c r="B272" s="44" t="n"/>
      <c r="C272" s="44" t="n"/>
      <c r="D272" s="44" t="n"/>
      <c r="E272" s="44" t="n"/>
      <c r="F272" s="44" t="n"/>
      <c r="G272" s="44" t="n"/>
      <c r="H272" s="44" t="n"/>
      <c r="I272" s="44" t="n"/>
      <c r="J272" s="44" t="n"/>
      <c r="K272" s="44" t="n"/>
      <c r="L272" s="44" t="n"/>
      <c r="M272" s="44" t="n"/>
      <c r="N272" s="44" t="n"/>
    </row>
    <row r="273">
      <c r="B273" s="44" t="n"/>
      <c r="C273" s="44" t="n"/>
      <c r="D273" s="44" t="n"/>
      <c r="E273" s="44" t="n"/>
      <c r="F273" s="44" t="n"/>
      <c r="G273" s="44" t="n"/>
      <c r="H273" s="44" t="n"/>
      <c r="I273" s="44" t="n"/>
      <c r="J273" s="44" t="n"/>
      <c r="K273" s="44" t="n"/>
      <c r="L273" s="44" t="n"/>
      <c r="M273" s="44" t="n"/>
      <c r="N273" s="44" t="n"/>
    </row>
    <row r="274">
      <c r="B274" s="44" t="n"/>
      <c r="C274" s="44" t="n"/>
      <c r="D274" s="44" t="n"/>
      <c r="E274" s="44" t="n"/>
      <c r="F274" s="44" t="n"/>
      <c r="G274" s="44" t="n"/>
      <c r="H274" s="44" t="n"/>
      <c r="I274" s="44" t="n"/>
      <c r="J274" s="44" t="n"/>
      <c r="K274" s="44" t="n"/>
      <c r="L274" s="44" t="n"/>
      <c r="M274" s="44" t="n"/>
      <c r="N274" s="44" t="n"/>
    </row>
    <row r="275">
      <c r="B275" s="44" t="n"/>
      <c r="C275" s="44" t="n"/>
      <c r="D275" s="44" t="n"/>
      <c r="E275" s="44" t="n"/>
      <c r="F275" s="44" t="n"/>
      <c r="G275" s="44" t="n"/>
      <c r="H275" s="44" t="n"/>
      <c r="I275" s="44" t="n"/>
      <c r="J275" s="44" t="n"/>
      <c r="K275" s="44" t="n"/>
      <c r="L275" s="44" t="n"/>
      <c r="M275" s="44" t="n"/>
      <c r="N275" s="44" t="n"/>
    </row>
    <row r="276">
      <c r="B276" s="44" t="n"/>
      <c r="C276" s="44" t="n"/>
      <c r="D276" s="44" t="n"/>
      <c r="E276" s="44" t="n"/>
      <c r="F276" s="44" t="n"/>
      <c r="G276" s="44" t="n"/>
      <c r="H276" s="44" t="n"/>
      <c r="I276" s="44" t="n"/>
      <c r="J276" s="44" t="n"/>
      <c r="K276" s="44" t="n"/>
      <c r="L276" s="44" t="n"/>
      <c r="M276" s="44" t="n"/>
      <c r="N276" s="44" t="n"/>
    </row>
    <row r="277">
      <c r="B277" s="44" t="n"/>
      <c r="C277" s="44" t="n"/>
      <c r="D277" s="44" t="n"/>
      <c r="E277" s="44" t="n"/>
      <c r="F277" s="44" t="n"/>
      <c r="G277" s="44" t="n"/>
      <c r="H277" s="44" t="n"/>
      <c r="I277" s="44" t="n"/>
      <c r="J277" s="44" t="n"/>
      <c r="K277" s="44" t="n"/>
      <c r="L277" s="44" t="n"/>
      <c r="M277" s="44" t="n"/>
      <c r="N277" s="44" t="n"/>
    </row>
    <row r="278">
      <c r="B278" s="44" t="n"/>
      <c r="C278" s="44" t="n"/>
      <c r="D278" s="44" t="n"/>
      <c r="E278" s="44" t="n"/>
      <c r="F278" s="44" t="n"/>
      <c r="G278" s="44" t="n"/>
      <c r="H278" s="44" t="n"/>
      <c r="I278" s="44" t="n"/>
      <c r="J278" s="44" t="n"/>
      <c r="K278" s="44" t="n"/>
      <c r="L278" s="44" t="n"/>
      <c r="M278" s="44" t="n"/>
      <c r="N278" s="44" t="n"/>
    </row>
    <row r="279">
      <c r="B279" s="44" t="n"/>
      <c r="C279" s="44" t="n"/>
      <c r="D279" s="44" t="n"/>
      <c r="E279" s="44" t="n"/>
      <c r="F279" s="44" t="n"/>
      <c r="G279" s="44" t="n"/>
      <c r="H279" s="44" t="n"/>
      <c r="I279" s="44" t="n"/>
      <c r="J279" s="44" t="n"/>
      <c r="K279" s="44" t="n"/>
      <c r="L279" s="44" t="n"/>
      <c r="M279" s="44" t="n"/>
      <c r="N279" s="44" t="n"/>
    </row>
    <row r="280">
      <c r="B280" s="44" t="n"/>
      <c r="C280" s="44" t="n"/>
      <c r="D280" s="44" t="n"/>
      <c r="E280" s="44" t="n"/>
      <c r="F280" s="44" t="n"/>
      <c r="G280" s="44" t="n"/>
      <c r="H280" s="44" t="n"/>
      <c r="I280" s="44" t="n"/>
      <c r="J280" s="44" t="n"/>
      <c r="K280" s="44" t="n"/>
      <c r="L280" s="44" t="n"/>
      <c r="M280" s="44" t="n"/>
      <c r="N280" s="44" t="n"/>
    </row>
    <row r="281">
      <c r="B281" s="44" t="n"/>
      <c r="C281" s="44" t="n"/>
      <c r="D281" s="44" t="n"/>
      <c r="E281" s="44" t="n"/>
      <c r="F281" s="44" t="n"/>
      <c r="G281" s="44" t="n"/>
      <c r="H281" s="44" t="n"/>
      <c r="I281" s="44" t="n"/>
      <c r="J281" s="44" t="n"/>
      <c r="K281" s="44" t="n"/>
      <c r="L281" s="44" t="n"/>
      <c r="M281" s="44" t="n"/>
      <c r="N281" s="44" t="n"/>
    </row>
    <row r="282">
      <c r="B282" s="44" t="n"/>
      <c r="C282" s="44" t="n"/>
      <c r="D282" s="44" t="n"/>
      <c r="E282" s="44" t="n"/>
      <c r="F282" s="44" t="n"/>
      <c r="G282" s="44" t="n"/>
      <c r="H282" s="44" t="n"/>
      <c r="I282" s="44" t="n"/>
      <c r="J282" s="44" t="n"/>
      <c r="K282" s="44" t="n"/>
      <c r="L282" s="44" t="n"/>
      <c r="M282" s="44" t="n"/>
      <c r="N282" s="44" t="n"/>
    </row>
    <row r="283">
      <c r="B283" s="44" t="n"/>
      <c r="C283" s="44" t="n"/>
      <c r="D283" s="44" t="n"/>
      <c r="E283" s="44" t="n"/>
      <c r="F283" s="44" t="n"/>
      <c r="G283" s="44" t="n"/>
      <c r="H283" s="44" t="n"/>
      <c r="I283" s="44" t="n"/>
      <c r="J283" s="44" t="n"/>
      <c r="K283" s="44" t="n"/>
      <c r="L283" s="44" t="n"/>
      <c r="M283" s="44" t="n"/>
      <c r="N283" s="44" t="n"/>
    </row>
    <row r="284">
      <c r="B284" s="44" t="n"/>
      <c r="C284" s="44" t="n"/>
      <c r="D284" s="44" t="n"/>
      <c r="E284" s="44" t="n"/>
      <c r="F284" s="44" t="n"/>
      <c r="G284" s="44" t="n"/>
      <c r="H284" s="44" t="n"/>
      <c r="I284" s="44" t="n"/>
      <c r="J284" s="44" t="n"/>
      <c r="K284" s="44" t="n"/>
      <c r="L284" s="44" t="n"/>
      <c r="M284" s="44" t="n"/>
      <c r="N284" s="44" t="n"/>
    </row>
    <row r="285">
      <c r="B285" s="44" t="n"/>
      <c r="C285" s="44" t="n"/>
      <c r="D285" s="44" t="n"/>
      <c r="E285" s="44" t="n"/>
      <c r="F285" s="44" t="n"/>
      <c r="G285" s="44" t="n"/>
      <c r="H285" s="44" t="n"/>
      <c r="I285" s="44" t="n"/>
      <c r="J285" s="44" t="n"/>
      <c r="K285" s="44" t="n"/>
      <c r="L285" s="44" t="n"/>
      <c r="M285" s="44" t="n"/>
      <c r="N285" s="44" t="n"/>
    </row>
    <row r="286">
      <c r="B286" s="44" t="n"/>
      <c r="C286" s="44" t="n"/>
      <c r="D286" s="44" t="n"/>
      <c r="E286" s="44" t="n"/>
      <c r="F286" s="44" t="n"/>
      <c r="G286" s="44" t="n"/>
      <c r="H286" s="44" t="n"/>
      <c r="I286" s="44" t="n"/>
      <c r="J286" s="44" t="n"/>
      <c r="K286" s="44" t="n"/>
      <c r="L286" s="44" t="n"/>
      <c r="M286" s="44" t="n"/>
      <c r="N286" s="44" t="n"/>
    </row>
    <row r="287">
      <c r="B287" s="44" t="n"/>
      <c r="C287" s="44" t="n"/>
      <c r="D287" s="44" t="n"/>
      <c r="E287" s="44" t="n"/>
      <c r="F287" s="44" t="n"/>
      <c r="G287" s="44" t="n"/>
      <c r="H287" s="44" t="n"/>
      <c r="I287" s="44" t="n"/>
      <c r="J287" s="44" t="n"/>
      <c r="K287" s="44" t="n"/>
      <c r="L287" s="44" t="n"/>
      <c r="M287" s="44" t="n"/>
      <c r="N287" s="44" t="n"/>
    </row>
    <row r="288">
      <c r="B288" s="44" t="n"/>
      <c r="C288" s="44" t="n"/>
      <c r="D288" s="44" t="n"/>
      <c r="E288" s="44" t="n"/>
      <c r="F288" s="44" t="n"/>
      <c r="G288" s="44" t="n"/>
      <c r="H288" s="44" t="n"/>
      <c r="I288" s="44" t="n"/>
      <c r="J288" s="44" t="n"/>
      <c r="K288" s="44" t="n"/>
      <c r="L288" s="44" t="n"/>
      <c r="M288" s="44" t="n"/>
      <c r="N288" s="44" t="n"/>
    </row>
    <row r="289">
      <c r="B289" s="44" t="n"/>
      <c r="C289" s="44" t="n"/>
      <c r="D289" s="44" t="n"/>
      <c r="E289" s="44" t="n"/>
      <c r="F289" s="44" t="n"/>
      <c r="G289" s="44" t="n"/>
      <c r="H289" s="44" t="n"/>
      <c r="I289" s="44" t="n"/>
      <c r="J289" s="44" t="n"/>
      <c r="K289" s="44" t="n"/>
      <c r="L289" s="44" t="n"/>
      <c r="M289" s="44" t="n"/>
      <c r="N289" s="44" t="n"/>
    </row>
    <row r="290">
      <c r="B290" s="44" t="n"/>
      <c r="C290" s="44" t="n"/>
      <c r="D290" s="44" t="n"/>
      <c r="E290" s="44" t="n"/>
      <c r="F290" s="44" t="n"/>
      <c r="G290" s="44" t="n"/>
      <c r="H290" s="44" t="n"/>
      <c r="I290" s="44" t="n"/>
      <c r="J290" s="44" t="n"/>
      <c r="K290" s="44" t="n"/>
      <c r="L290" s="44" t="n"/>
      <c r="M290" s="44" t="n"/>
      <c r="N290" s="44" t="n"/>
    </row>
    <row r="291">
      <c r="B291" s="44" t="n"/>
      <c r="C291" s="44" t="n"/>
      <c r="D291" s="44" t="n"/>
      <c r="E291" s="44" t="n"/>
      <c r="F291" s="44" t="n"/>
      <c r="G291" s="44" t="n"/>
      <c r="H291" s="44" t="n"/>
      <c r="I291" s="44" t="n"/>
      <c r="J291" s="44" t="n"/>
      <c r="K291" s="44" t="n"/>
      <c r="L291" s="44" t="n"/>
      <c r="M291" s="44" t="n"/>
      <c r="N291" s="44" t="n"/>
    </row>
    <row r="292">
      <c r="B292" s="44" t="n"/>
      <c r="C292" s="44" t="n"/>
      <c r="D292" s="44" t="n"/>
      <c r="E292" s="44" t="n"/>
      <c r="F292" s="44" t="n"/>
      <c r="G292" s="44" t="n"/>
      <c r="H292" s="44" t="n"/>
      <c r="I292" s="44" t="n"/>
      <c r="J292" s="44" t="n"/>
      <c r="K292" s="44" t="n"/>
      <c r="L292" s="44" t="n"/>
      <c r="M292" s="44" t="n"/>
      <c r="N292" s="44" t="n"/>
    </row>
    <row r="293">
      <c r="B293" s="44" t="n"/>
      <c r="C293" s="44" t="n"/>
      <c r="D293" s="44" t="n"/>
      <c r="E293" s="44" t="n"/>
      <c r="F293" s="44" t="n"/>
      <c r="G293" s="44" t="n"/>
      <c r="H293" s="44" t="n"/>
      <c r="I293" s="44" t="n"/>
      <c r="J293" s="44" t="n"/>
      <c r="K293" s="44" t="n"/>
      <c r="L293" s="44" t="n"/>
      <c r="M293" s="44" t="n"/>
      <c r="N293" s="44" t="n"/>
    </row>
    <row r="294">
      <c r="B294" s="44" t="n"/>
      <c r="C294" s="44" t="n"/>
      <c r="D294" s="44" t="n"/>
      <c r="E294" s="44" t="n"/>
      <c r="F294" s="44" t="n"/>
      <c r="G294" s="44" t="n"/>
      <c r="H294" s="44" t="n"/>
      <c r="I294" s="44" t="n"/>
      <c r="J294" s="44" t="n"/>
      <c r="K294" s="44" t="n"/>
      <c r="L294" s="44" t="n"/>
      <c r="M294" s="44" t="n"/>
      <c r="N294" s="44" t="n"/>
    </row>
    <row r="295">
      <c r="B295" s="44" t="n"/>
      <c r="C295" s="44" t="n"/>
      <c r="D295" s="44" t="n"/>
      <c r="E295" s="44" t="n"/>
      <c r="F295" s="44" t="n"/>
      <c r="G295" s="44" t="n"/>
      <c r="H295" s="44" t="n"/>
      <c r="I295" s="44" t="n"/>
      <c r="J295" s="44" t="n"/>
      <c r="K295" s="44" t="n"/>
      <c r="L295" s="44" t="n"/>
      <c r="M295" s="44" t="n"/>
      <c r="N295" s="44" t="n"/>
    </row>
  </sheetData>
  <mergeCells count="15">
    <mergeCell ref="C48:F48"/>
    <mergeCell ref="H78:I78"/>
    <mergeCell ref="I219:K219"/>
    <mergeCell ref="G196:J196"/>
    <mergeCell ref="C34:F34"/>
    <mergeCell ref="C87:G87"/>
    <mergeCell ref="B4:D4"/>
    <mergeCell ref="J223:L223"/>
    <mergeCell ref="E4:G4"/>
    <mergeCell ref="G190:J190"/>
    <mergeCell ref="C84:G84"/>
    <mergeCell ref="E2:K2"/>
    <mergeCell ref="I233:K233"/>
    <mergeCell ref="J3:L3"/>
    <mergeCell ref="A1:N1"/>
  </mergeCells>
  <pageMargins left="0.25" right="0.25" top="0.75" bottom="0.75" header="0.3" footer="0.3"/>
  <pageSetup orientation="portrait" paperSize="9" horizontalDpi="300" verticalDpi="0"/>
  <drawing xmlns:r="http://schemas.openxmlformats.org/officeDocument/2006/relationships" r:id="rId1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23"/>
  <sheetViews>
    <sheetView workbookViewId="0">
      <selection activeCell="H6" sqref="H6"/>
    </sheetView>
  </sheetViews>
  <sheetFormatPr baseColWidth="10" defaultRowHeight="12.75"/>
  <cols>
    <col width="12.140625" bestFit="1" customWidth="1" style="44" min="1" max="1"/>
    <col width="12.5703125" customWidth="1" style="44" min="2" max="2"/>
    <col width="11.42578125" bestFit="1" customWidth="1" style="44" min="3" max="3"/>
    <col width="10.85546875" bestFit="1" customWidth="1" style="44" min="4" max="4"/>
    <col width="6.140625" bestFit="1" customWidth="1" style="44" min="5" max="5"/>
    <col width="8.42578125" bestFit="1" customWidth="1" style="44" min="6" max="6"/>
    <col width="5" bestFit="1" customWidth="1" style="44" min="7" max="7"/>
    <col width="11.42578125" customWidth="1" style="44" min="8" max="8"/>
    <col width="51.85546875" customWidth="1" style="44" min="9" max="9"/>
    <col width="34.7109375" customWidth="1" style="44" min="10" max="10"/>
    <col width="11.42578125" customWidth="1" style="44" min="11" max="12"/>
    <col width="15.85546875" customWidth="1" style="44" min="13" max="13"/>
    <col width="11.42578125" customWidth="1" style="44" min="14" max="16384"/>
  </cols>
  <sheetData>
    <row r="1">
      <c r="A1" s="146" t="inlineStr">
        <is>
          <t>Coeficientes  φ  para Diseño</t>
        </is>
      </c>
      <c r="E1" s="146" t="inlineStr">
        <is>
          <t>Varilla</t>
        </is>
      </c>
      <c r="F1" s="146" t="inlineStr">
        <is>
          <t>Diámetro</t>
        </is>
      </c>
      <c r="G1" s="146" t="inlineStr">
        <is>
          <t>Area</t>
        </is>
      </c>
      <c r="M1" s="145" t="n"/>
      <c r="N1" s="145" t="n"/>
      <c r="O1" s="145" t="n"/>
    </row>
    <row r="2">
      <c r="A2" s="44" t="inlineStr">
        <is>
          <t>Factores φ</t>
        </is>
      </c>
      <c r="B2" s="147" t="inlineStr">
        <is>
          <t>NTE E.060</t>
        </is>
      </c>
      <c r="C2" s="147" t="inlineStr">
        <is>
          <t>ACI 318S-08</t>
        </is>
      </c>
      <c r="E2" s="147" t="inlineStr">
        <is>
          <t>3/8"</t>
        </is>
      </c>
      <c r="F2" s="147" t="n">
        <v>0.9525</v>
      </c>
      <c r="G2" s="147">
        <f>ROUND(PI()*F2^2/4,2)</f>
        <v/>
      </c>
      <c r="H2" s="4" t="n">
        <v>3</v>
      </c>
      <c r="M2" s="44" t="n">
        <v>1.5</v>
      </c>
      <c r="N2" s="44" t="n">
        <v>1.2</v>
      </c>
      <c r="O2" s="44" t="n">
        <v>1</v>
      </c>
    </row>
    <row r="3">
      <c r="A3" s="44" t="inlineStr">
        <is>
          <t>Tensión</t>
        </is>
      </c>
      <c r="B3" s="3" t="n">
        <v>0.9</v>
      </c>
      <c r="C3" s="3" t="n">
        <v>0.9</v>
      </c>
      <c r="E3" s="147" t="inlineStr">
        <is>
          <t>1/2"</t>
        </is>
      </c>
      <c r="F3" s="147" t="n">
        <v>1.27</v>
      </c>
      <c r="G3" s="147">
        <f>ROUND(PI()*F3^2/4,2)</f>
        <v/>
      </c>
      <c r="H3" s="4" t="n">
        <v>4</v>
      </c>
    </row>
    <row r="4">
      <c r="A4" s="44" t="inlineStr">
        <is>
          <t>Compresión</t>
        </is>
      </c>
      <c r="B4" s="3" t="n">
        <v>0.7</v>
      </c>
      <c r="C4" s="3" t="n">
        <v>0.65</v>
      </c>
      <c r="E4" s="147" t="inlineStr">
        <is>
          <t>5/8"</t>
        </is>
      </c>
      <c r="F4" s="147" t="n">
        <v>1.5875</v>
      </c>
      <c r="G4" s="147">
        <f>ROUND(PI()*F4^2/4,2)</f>
        <v/>
      </c>
      <c r="H4" s="4" t="n">
        <v>5</v>
      </c>
    </row>
    <row r="5">
      <c r="A5" s="44" t="inlineStr">
        <is>
          <t>Cortante</t>
        </is>
      </c>
      <c r="B5" s="3" t="n">
        <v>0.85</v>
      </c>
      <c r="C5" s="3" t="n">
        <v>0.75</v>
      </c>
      <c r="E5" s="147" t="inlineStr">
        <is>
          <t>3/4"</t>
        </is>
      </c>
      <c r="F5" s="147" t="n">
        <v>1.905</v>
      </c>
      <c r="G5" s="147">
        <f>ROUND(PI()*F5^2/4,2)</f>
        <v/>
      </c>
      <c r="H5" s="4" t="n">
        <v>6</v>
      </c>
    </row>
    <row r="6">
      <c r="E6" s="147" t="inlineStr">
        <is>
          <t>1"</t>
        </is>
      </c>
      <c r="F6" s="147" t="n">
        <v>2.54</v>
      </c>
      <c r="G6" s="147">
        <f>ROUND(PI()*F6^2/4,2)</f>
        <v/>
      </c>
      <c r="H6" s="4" t="n">
        <v>8</v>
      </c>
    </row>
    <row r="7">
      <c r="A7" s="147" t="inlineStr">
        <is>
          <t>Combinaciones para Carga Estática</t>
        </is>
      </c>
      <c r="E7" s="44" t="inlineStr">
        <is>
          <t>1 3/8"</t>
        </is>
      </c>
      <c r="F7" s="44" t="n">
        <v>3.4925</v>
      </c>
      <c r="G7" s="44">
        <f>ROUND(PI()*F7^2/4,2)</f>
        <v/>
      </c>
      <c r="H7" s="4" t="n">
        <v>11</v>
      </c>
    </row>
    <row r="8">
      <c r="A8" s="44" t="inlineStr">
        <is>
          <t>Coeficientes</t>
        </is>
      </c>
      <c r="B8" s="147" t="inlineStr">
        <is>
          <t>NTE E.060</t>
        </is>
      </c>
      <c r="C8" s="147" t="inlineStr">
        <is>
          <t>ACI 318S-08</t>
        </is>
      </c>
    </row>
    <row r="9">
      <c r="A9" s="44" t="inlineStr">
        <is>
          <t>Carga Muerta</t>
        </is>
      </c>
      <c r="B9" s="3" t="n">
        <v>1.5</v>
      </c>
      <c r="C9" s="3" t="n">
        <v>1.2</v>
      </c>
    </row>
    <row r="10">
      <c r="A10" s="44" t="inlineStr">
        <is>
          <t>Carga Viva</t>
        </is>
      </c>
      <c r="B10" s="3" t="n">
        <v>1.8</v>
      </c>
      <c r="C10" s="3" t="n">
        <v>1.6</v>
      </c>
    </row>
    <row r="11"/>
    <row r="12">
      <c r="A12" s="44" t="inlineStr">
        <is>
          <t>Longitudes de Desarrollo</t>
        </is>
      </c>
    </row>
    <row r="13">
      <c r="H13" s="33" t="inlineStr">
        <is>
          <t>Factores Ψ</t>
        </is>
      </c>
      <c r="I13" s="145" t="inlineStr">
        <is>
          <t>Descripción</t>
        </is>
      </c>
      <c r="J13" s="33" t="inlineStr">
        <is>
          <t>Valor</t>
        </is>
      </c>
    </row>
    <row r="14">
      <c r="H14" s="144" t="inlineStr">
        <is>
          <t>Ψt</t>
        </is>
      </c>
      <c r="I14" s="44" t="inlineStr">
        <is>
          <t>Varillas Superiores</t>
        </is>
      </c>
      <c r="J14" s="3" t="n">
        <v>1.3</v>
      </c>
    </row>
    <row r="15">
      <c r="I15" s="44" t="inlineStr">
        <is>
          <t>Otras Varillas</t>
        </is>
      </c>
      <c r="J15" s="3" t="n">
        <v>1</v>
      </c>
    </row>
    <row r="16" ht="24.75" customHeight="1">
      <c r="H16" s="144" t="inlineStr">
        <is>
          <t>Ψe</t>
        </is>
      </c>
      <c r="I16" s="40" t="inlineStr">
        <is>
          <t>Varillas o alambres con recubrimiento Expóxico con menos de 3db de recubrimiento o separación libre menor de 6db</t>
        </is>
      </c>
      <c r="J16" s="41" t="n">
        <v>1.5</v>
      </c>
    </row>
    <row r="17">
      <c r="I17" s="42" t="inlineStr">
        <is>
          <t>Todas la Otras Varillas o Alambre con Recubrimiento Epóxico</t>
        </is>
      </c>
      <c r="J17" s="43" t="n">
        <v>1.2</v>
      </c>
    </row>
    <row r="18">
      <c r="I18" s="44" t="inlineStr">
        <is>
          <t>Refuerzo sin Recubrimiento y con recubrimiento con zinc</t>
        </is>
      </c>
      <c r="J18" s="3" t="n">
        <v>1</v>
      </c>
    </row>
    <row r="19">
      <c r="H19" s="144" t="inlineStr">
        <is>
          <t>Ψs</t>
        </is>
      </c>
      <c r="I19" s="44" t="inlineStr">
        <is>
          <t>Varillas o alambres menores o iguales a la #6</t>
        </is>
      </c>
      <c r="J19" s="3" t="n">
        <v>0.8</v>
      </c>
    </row>
    <row r="20">
      <c r="I20" s="44" t="inlineStr">
        <is>
          <t>Varillas mayores o iguales a la #7</t>
        </is>
      </c>
      <c r="J20" s="3" t="n">
        <v>1</v>
      </c>
    </row>
    <row r="21">
      <c r="H21" s="144" t="inlineStr">
        <is>
          <t>λ</t>
        </is>
      </c>
      <c r="I21" s="44" t="inlineStr">
        <is>
          <t>Concreto de Peso Liviano</t>
        </is>
      </c>
      <c r="J21" s="147" t="n">
        <v>0.75</v>
      </c>
    </row>
    <row r="22" ht="38.25" customHeight="1">
      <c r="I22" s="39" t="inlineStr">
        <is>
          <t>Cuando se especifica fct</t>
        </is>
      </c>
    </row>
    <row r="23">
      <c r="I23" s="44" t="inlineStr">
        <is>
          <t>Concreto de Peso Normal</t>
        </is>
      </c>
      <c r="J23" s="3" t="n">
        <v>1</v>
      </c>
    </row>
  </sheetData>
  <mergeCells count="6">
    <mergeCell ref="H14:H15"/>
    <mergeCell ref="A1:C1"/>
    <mergeCell ref="H21:H23"/>
    <mergeCell ref="H16:H18"/>
    <mergeCell ref="A7:C7"/>
    <mergeCell ref="H19:H20"/>
  </mergeCells>
  <pageMargins left="0.7" right="0.7" top="0.75" bottom="0.75" header="0.3" footer="0.3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 filterMode="1">
    <outlinePr summaryBelow="1" summaryRight="1"/>
    <pageSetUpPr/>
  </sheetPr>
  <dimension ref="A1:J210"/>
  <sheetViews>
    <sheetView workbookViewId="0">
      <selection activeCell="B2" sqref="B2:J210"/>
    </sheetView>
  </sheetViews>
  <sheetFormatPr baseColWidth="10" defaultRowHeight="15"/>
  <sheetData>
    <row r="1"/>
    <row r="2">
      <c r="B2" t="inlineStr">
        <is>
          <t>Story</t>
        </is>
      </c>
      <c r="C2" t="inlineStr">
        <is>
          <t>Point</t>
        </is>
      </c>
      <c r="D2" t="inlineStr">
        <is>
          <t>Load</t>
        </is>
      </c>
      <c r="E2" t="inlineStr">
        <is>
          <t>FX</t>
        </is>
      </c>
      <c r="F2" t="inlineStr">
        <is>
          <t>FY</t>
        </is>
      </c>
      <c r="G2" t="inlineStr">
        <is>
          <t>FZ</t>
        </is>
      </c>
      <c r="H2" t="inlineStr">
        <is>
          <t>MX</t>
        </is>
      </c>
      <c r="I2" t="inlineStr">
        <is>
          <t>MY</t>
        </is>
      </c>
      <c r="J2" t="inlineStr">
        <is>
          <t>MZ</t>
        </is>
      </c>
    </row>
    <row r="3" hidden="1">
      <c r="B3" t="inlineStr">
        <is>
          <t>BASE</t>
        </is>
      </c>
      <c r="C3" t="n">
        <v>1</v>
      </c>
      <c r="D3" t="inlineStr">
        <is>
          <t>PD</t>
        </is>
      </c>
      <c r="E3" t="n">
        <v>126.08</v>
      </c>
      <c r="F3" t="n">
        <v>1344.51</v>
      </c>
      <c r="G3" t="n">
        <v>20683.64</v>
      </c>
      <c r="H3" t="n">
        <v>-20.198</v>
      </c>
      <c r="I3" t="n">
        <v>-3387.191</v>
      </c>
      <c r="J3" t="n">
        <v>-0.393</v>
      </c>
    </row>
    <row r="4" hidden="1">
      <c r="B4" t="inlineStr">
        <is>
          <t>BASE</t>
        </is>
      </c>
      <c r="C4" t="n">
        <v>1</v>
      </c>
      <c r="D4" t="inlineStr">
        <is>
          <t>PL</t>
        </is>
      </c>
      <c r="E4" t="n">
        <v>58.73</v>
      </c>
      <c r="F4" t="n">
        <v>221.65</v>
      </c>
      <c r="G4" t="n">
        <v>3590.06</v>
      </c>
      <c r="H4" t="n">
        <v>-1.244</v>
      </c>
      <c r="I4" t="n">
        <v>-566.794</v>
      </c>
      <c r="J4" t="n">
        <v>-1.431</v>
      </c>
    </row>
    <row r="5" hidden="1">
      <c r="B5" t="inlineStr">
        <is>
          <t>BASE</t>
        </is>
      </c>
      <c r="C5" t="n">
        <v>2</v>
      </c>
      <c r="D5" t="inlineStr">
        <is>
          <t>PD</t>
        </is>
      </c>
      <c r="E5" t="n">
        <v>245.14</v>
      </c>
      <c r="F5" t="n">
        <v>32.82</v>
      </c>
      <c r="G5" t="n">
        <v>24795.3</v>
      </c>
      <c r="H5" t="n">
        <v>-9.255000000000001</v>
      </c>
      <c r="I5" t="n">
        <v>-3851.032</v>
      </c>
      <c r="J5" t="n">
        <v>-5.936</v>
      </c>
    </row>
    <row r="6" hidden="1">
      <c r="B6" t="inlineStr">
        <is>
          <t>BASE</t>
        </is>
      </c>
      <c r="C6" t="n">
        <v>2</v>
      </c>
      <c r="D6" t="inlineStr">
        <is>
          <t>PL</t>
        </is>
      </c>
      <c r="E6" t="n">
        <v>125.29</v>
      </c>
      <c r="F6" t="n">
        <v>13.43</v>
      </c>
      <c r="G6" t="n">
        <v>4773.94</v>
      </c>
      <c r="H6" t="n">
        <v>-3.405</v>
      </c>
      <c r="I6" t="n">
        <v>-669.605</v>
      </c>
      <c r="J6" t="n">
        <v>-2.403</v>
      </c>
    </row>
    <row r="7" hidden="1">
      <c r="B7" t="inlineStr">
        <is>
          <t>BASE</t>
        </is>
      </c>
      <c r="C7" t="n">
        <v>3</v>
      </c>
      <c r="D7" t="inlineStr">
        <is>
          <t>PD</t>
        </is>
      </c>
      <c r="E7" t="n">
        <v>1460.07</v>
      </c>
      <c r="F7" t="n">
        <v>10.05</v>
      </c>
      <c r="G7" t="n">
        <v>43274.41</v>
      </c>
      <c r="H7" t="n">
        <v>-4.025</v>
      </c>
      <c r="I7" t="n">
        <v>-5989.19</v>
      </c>
      <c r="J7" t="n">
        <v>-3.23</v>
      </c>
    </row>
    <row r="8" hidden="1">
      <c r="B8" t="inlineStr">
        <is>
          <t>BASE</t>
        </is>
      </c>
      <c r="C8" t="n">
        <v>3</v>
      </c>
      <c r="D8" t="inlineStr">
        <is>
          <t>PL</t>
        </is>
      </c>
      <c r="E8" t="n">
        <v>627.95</v>
      </c>
      <c r="F8" t="n">
        <v>6.02</v>
      </c>
      <c r="G8" t="n">
        <v>9246.51</v>
      </c>
      <c r="H8" t="n">
        <v>-1.744</v>
      </c>
      <c r="I8" t="n">
        <v>-1008.448</v>
      </c>
      <c r="J8" t="n">
        <v>-0.836</v>
      </c>
    </row>
    <row r="9" hidden="1">
      <c r="B9" t="inlineStr">
        <is>
          <t>BASE</t>
        </is>
      </c>
      <c r="C9" t="n">
        <v>4</v>
      </c>
      <c r="D9" t="inlineStr">
        <is>
          <t>PD</t>
        </is>
      </c>
      <c r="E9" t="n">
        <v>1461.72</v>
      </c>
      <c r="F9" t="n">
        <v>-5.61</v>
      </c>
      <c r="G9" t="n">
        <v>43337.62</v>
      </c>
      <c r="H9" t="n">
        <v>1.255</v>
      </c>
      <c r="I9" t="n">
        <v>-6020.959</v>
      </c>
      <c r="J9" t="n">
        <v>-0.083</v>
      </c>
    </row>
    <row r="10" hidden="1">
      <c r="B10" t="inlineStr">
        <is>
          <t>BASE</t>
        </is>
      </c>
      <c r="C10" t="n">
        <v>4</v>
      </c>
      <c r="D10" t="inlineStr">
        <is>
          <t>PL</t>
        </is>
      </c>
      <c r="E10" t="n">
        <v>627.8</v>
      </c>
      <c r="F10" t="n">
        <v>-2.15</v>
      </c>
      <c r="G10" t="n">
        <v>9434.48</v>
      </c>
      <c r="H10" t="n">
        <v>1.011</v>
      </c>
      <c r="I10" t="n">
        <v>-1046.095</v>
      </c>
      <c r="J10" t="n">
        <v>0.017</v>
      </c>
    </row>
    <row r="11" hidden="1">
      <c r="B11" t="inlineStr">
        <is>
          <t>BASE</t>
        </is>
      </c>
      <c r="C11" t="n">
        <v>5</v>
      </c>
      <c r="D11" t="inlineStr">
        <is>
          <t>PD</t>
        </is>
      </c>
      <c r="E11" t="n">
        <v>1452.8</v>
      </c>
      <c r="F11" t="n">
        <v>-36.81</v>
      </c>
      <c r="G11" t="n">
        <v>41599.8</v>
      </c>
      <c r="H11" t="n">
        <v>11.771</v>
      </c>
      <c r="I11" t="n">
        <v>-5707.363</v>
      </c>
      <c r="J11" t="n">
        <v>3.256</v>
      </c>
    </row>
    <row r="12" hidden="1">
      <c r="B12" t="inlineStr">
        <is>
          <t>BASE</t>
        </is>
      </c>
      <c r="C12" t="n">
        <v>5</v>
      </c>
      <c r="D12" t="inlineStr">
        <is>
          <t>PL</t>
        </is>
      </c>
      <c r="E12" t="n">
        <v>621.28</v>
      </c>
      <c r="F12" t="n">
        <v>-13.62</v>
      </c>
      <c r="G12" t="n">
        <v>8925.59</v>
      </c>
      <c r="H12" t="n">
        <v>4.878</v>
      </c>
      <c r="I12" t="n">
        <v>-951.138</v>
      </c>
      <c r="J12" t="n">
        <v>1.898</v>
      </c>
    </row>
    <row r="13" hidden="1">
      <c r="B13" t="inlineStr">
        <is>
          <t>BASE</t>
        </is>
      </c>
      <c r="C13" t="n">
        <v>6</v>
      </c>
      <c r="D13" t="inlineStr">
        <is>
          <t>PD</t>
        </is>
      </c>
      <c r="E13" t="n">
        <v>866.85</v>
      </c>
      <c r="F13" t="n">
        <v>-1319.95</v>
      </c>
      <c r="G13" t="n">
        <v>34067.5</v>
      </c>
      <c r="H13" t="n">
        <v>31.41</v>
      </c>
      <c r="I13" t="n">
        <v>-5095.579</v>
      </c>
      <c r="J13" t="n">
        <v>-0.729</v>
      </c>
    </row>
    <row r="14" hidden="1">
      <c r="B14" t="inlineStr">
        <is>
          <t>BASE</t>
        </is>
      </c>
      <c r="C14" t="n">
        <v>6</v>
      </c>
      <c r="D14" t="inlineStr">
        <is>
          <t>PL</t>
        </is>
      </c>
      <c r="E14" t="n">
        <v>319.35</v>
      </c>
      <c r="F14" t="n">
        <v>-249.21</v>
      </c>
      <c r="G14" t="n">
        <v>6718.35</v>
      </c>
      <c r="H14" t="n">
        <v>3.38</v>
      </c>
      <c r="I14" t="n">
        <v>-890.674</v>
      </c>
      <c r="J14" t="n">
        <v>1.694</v>
      </c>
    </row>
    <row r="15" hidden="1">
      <c r="B15" t="inlineStr">
        <is>
          <t>BASE</t>
        </is>
      </c>
      <c r="C15" t="n">
        <v>7</v>
      </c>
      <c r="D15" t="inlineStr">
        <is>
          <t>PD</t>
        </is>
      </c>
      <c r="E15" t="n">
        <v>-126.08</v>
      </c>
      <c r="F15" t="n">
        <v>1344.51</v>
      </c>
      <c r="G15" t="n">
        <v>20683.64</v>
      </c>
      <c r="H15" t="n">
        <v>-20.198</v>
      </c>
      <c r="I15" t="n">
        <v>3387.191</v>
      </c>
      <c r="J15" t="n">
        <v>0.393</v>
      </c>
    </row>
    <row r="16" hidden="1">
      <c r="B16" t="inlineStr">
        <is>
          <t>BASE</t>
        </is>
      </c>
      <c r="C16" t="n">
        <v>7</v>
      </c>
      <c r="D16" t="inlineStr">
        <is>
          <t>PL</t>
        </is>
      </c>
      <c r="E16" t="n">
        <v>-58.73</v>
      </c>
      <c r="F16" t="n">
        <v>221.65</v>
      </c>
      <c r="G16" t="n">
        <v>3590.06</v>
      </c>
      <c r="H16" t="n">
        <v>-1.244</v>
      </c>
      <c r="I16" t="n">
        <v>566.794</v>
      </c>
      <c r="J16" t="n">
        <v>1.431</v>
      </c>
    </row>
    <row r="17" hidden="1">
      <c r="B17" t="inlineStr">
        <is>
          <t>BASE</t>
        </is>
      </c>
      <c r="C17" t="n">
        <v>8</v>
      </c>
      <c r="D17" t="inlineStr">
        <is>
          <t>PD</t>
        </is>
      </c>
      <c r="E17" t="n">
        <v>-245.14</v>
      </c>
      <c r="F17" t="n">
        <v>32.82</v>
      </c>
      <c r="G17" t="n">
        <v>24795.3</v>
      </c>
      <c r="H17" t="n">
        <v>-9.255000000000001</v>
      </c>
      <c r="I17" t="n">
        <v>3851.032</v>
      </c>
      <c r="J17" t="n">
        <v>5.936</v>
      </c>
    </row>
    <row r="18" hidden="1">
      <c r="B18" t="inlineStr">
        <is>
          <t>BASE</t>
        </is>
      </c>
      <c r="C18" t="n">
        <v>8</v>
      </c>
      <c r="D18" t="inlineStr">
        <is>
          <t>PL</t>
        </is>
      </c>
      <c r="E18" t="n">
        <v>-125.29</v>
      </c>
      <c r="F18" t="n">
        <v>13.43</v>
      </c>
      <c r="G18" t="n">
        <v>4773.94</v>
      </c>
      <c r="H18" t="n">
        <v>-3.405</v>
      </c>
      <c r="I18" t="n">
        <v>669.605</v>
      </c>
      <c r="J18" t="n">
        <v>2.403</v>
      </c>
    </row>
    <row r="19" hidden="1">
      <c r="B19" t="inlineStr">
        <is>
          <t>BASE</t>
        </is>
      </c>
      <c r="C19" t="n">
        <v>9</v>
      </c>
      <c r="D19" t="inlineStr">
        <is>
          <t>PD</t>
        </is>
      </c>
      <c r="E19" t="n">
        <v>-1460.07</v>
      </c>
      <c r="F19" t="n">
        <v>10.05</v>
      </c>
      <c r="G19" t="n">
        <v>43274.41</v>
      </c>
      <c r="H19" t="n">
        <v>-4.025</v>
      </c>
      <c r="I19" t="n">
        <v>5989.19</v>
      </c>
      <c r="J19" t="n">
        <v>3.23</v>
      </c>
    </row>
    <row r="20" hidden="1">
      <c r="B20" t="inlineStr">
        <is>
          <t>BASE</t>
        </is>
      </c>
      <c r="C20" t="n">
        <v>9</v>
      </c>
      <c r="D20" t="inlineStr">
        <is>
          <t>PL</t>
        </is>
      </c>
      <c r="E20" t="n">
        <v>-627.95</v>
      </c>
      <c r="F20" t="n">
        <v>6.02</v>
      </c>
      <c r="G20" t="n">
        <v>9246.51</v>
      </c>
      <c r="H20" t="n">
        <v>-1.744</v>
      </c>
      <c r="I20" t="n">
        <v>1008.448</v>
      </c>
      <c r="J20" t="n">
        <v>0.836</v>
      </c>
    </row>
    <row r="21" hidden="1">
      <c r="B21" t="inlineStr">
        <is>
          <t>BASE</t>
        </is>
      </c>
      <c r="C21" t="n">
        <v>10</v>
      </c>
      <c r="D21" t="inlineStr">
        <is>
          <t>PD</t>
        </is>
      </c>
      <c r="E21" t="n">
        <v>-1461.72</v>
      </c>
      <c r="F21" t="n">
        <v>-5.61</v>
      </c>
      <c r="G21" t="n">
        <v>43337.62</v>
      </c>
      <c r="H21" t="n">
        <v>1.255</v>
      </c>
      <c r="I21" t="n">
        <v>6020.959</v>
      </c>
      <c r="J21" t="n">
        <v>0.083</v>
      </c>
    </row>
    <row r="22" hidden="1">
      <c r="B22" t="inlineStr">
        <is>
          <t>BASE</t>
        </is>
      </c>
      <c r="C22" t="n">
        <v>10</v>
      </c>
      <c r="D22" t="inlineStr">
        <is>
          <t>PL</t>
        </is>
      </c>
      <c r="E22" t="n">
        <v>-627.8</v>
      </c>
      <c r="F22" t="n">
        <v>-2.15</v>
      </c>
      <c r="G22" t="n">
        <v>9434.48</v>
      </c>
      <c r="H22" t="n">
        <v>1.011</v>
      </c>
      <c r="I22" t="n">
        <v>1046.095</v>
      </c>
      <c r="J22" t="n">
        <v>-0.017</v>
      </c>
    </row>
    <row r="23" hidden="1">
      <c r="B23" t="inlineStr">
        <is>
          <t>BASE</t>
        </is>
      </c>
      <c r="C23" t="n">
        <v>11</v>
      </c>
      <c r="D23" t="inlineStr">
        <is>
          <t>PD</t>
        </is>
      </c>
      <c r="E23" t="n">
        <v>-1452.8</v>
      </c>
      <c r="F23" t="n">
        <v>-36.81</v>
      </c>
      <c r="G23" t="n">
        <v>41599.8</v>
      </c>
      <c r="H23" t="n">
        <v>11.771</v>
      </c>
      <c r="I23" t="n">
        <v>5707.363</v>
      </c>
      <c r="J23" t="n">
        <v>-3.256</v>
      </c>
    </row>
    <row r="24" hidden="1">
      <c r="B24" t="inlineStr">
        <is>
          <t>BASE</t>
        </is>
      </c>
      <c r="C24" t="n">
        <v>11</v>
      </c>
      <c r="D24" t="inlineStr">
        <is>
          <t>PL</t>
        </is>
      </c>
      <c r="E24" t="n">
        <v>-621.28</v>
      </c>
      <c r="F24" t="n">
        <v>-13.62</v>
      </c>
      <c r="G24" t="n">
        <v>8925.59</v>
      </c>
      <c r="H24" t="n">
        <v>4.878</v>
      </c>
      <c r="I24" t="n">
        <v>951.138</v>
      </c>
      <c r="J24" t="n">
        <v>-1.898</v>
      </c>
    </row>
    <row r="25" hidden="1">
      <c r="B25" t="inlineStr">
        <is>
          <t>BASE</t>
        </is>
      </c>
      <c r="C25" t="n">
        <v>12</v>
      </c>
      <c r="D25" t="inlineStr">
        <is>
          <t>PD</t>
        </is>
      </c>
      <c r="E25" t="n">
        <v>-866.85</v>
      </c>
      <c r="F25" t="n">
        <v>-1319.95</v>
      </c>
      <c r="G25" t="n">
        <v>34067.5</v>
      </c>
      <c r="H25" t="n">
        <v>31.41</v>
      </c>
      <c r="I25" t="n">
        <v>5095.579</v>
      </c>
      <c r="J25" t="n">
        <v>0.729</v>
      </c>
    </row>
    <row r="26" hidden="1">
      <c r="B26" t="inlineStr">
        <is>
          <t>BASE</t>
        </is>
      </c>
      <c r="C26" t="n">
        <v>12</v>
      </c>
      <c r="D26" t="inlineStr">
        <is>
          <t>PL</t>
        </is>
      </c>
      <c r="E26" t="n">
        <v>-319.35</v>
      </c>
      <c r="F26" t="n">
        <v>-249.21</v>
      </c>
      <c r="G26" t="n">
        <v>6718.35</v>
      </c>
      <c r="H26" t="n">
        <v>3.38</v>
      </c>
      <c r="I26" t="n">
        <v>890.674</v>
      </c>
      <c r="J26" t="n">
        <v>-1.694</v>
      </c>
    </row>
    <row r="27" hidden="1">
      <c r="B27" t="inlineStr">
        <is>
          <t>BASE</t>
        </is>
      </c>
      <c r="C27" t="n">
        <v>13</v>
      </c>
      <c r="D27" t="inlineStr">
        <is>
          <t>PD</t>
        </is>
      </c>
      <c r="E27" t="n">
        <v>-12.52</v>
      </c>
      <c r="F27" t="n">
        <v>77.02</v>
      </c>
      <c r="G27" t="n">
        <v>1285.74</v>
      </c>
      <c r="H27" t="n">
        <v>0</v>
      </c>
      <c r="I27" t="n">
        <v>0</v>
      </c>
      <c r="J27" t="n">
        <v>0</v>
      </c>
    </row>
    <row r="28" hidden="1">
      <c r="B28" t="inlineStr">
        <is>
          <t>BASE</t>
        </is>
      </c>
      <c r="C28" t="n">
        <v>13</v>
      </c>
      <c r="D28" t="inlineStr">
        <is>
          <t>PL</t>
        </is>
      </c>
      <c r="E28" t="n">
        <v>-6.55</v>
      </c>
      <c r="F28" t="n">
        <v>6.41</v>
      </c>
      <c r="G28" t="n">
        <v>194.37</v>
      </c>
      <c r="H28" t="n">
        <v>0</v>
      </c>
      <c r="I28" t="n">
        <v>0</v>
      </c>
      <c r="J28" t="n">
        <v>0</v>
      </c>
    </row>
    <row r="29" hidden="1">
      <c r="B29" t="inlineStr">
        <is>
          <t>BASE</t>
        </is>
      </c>
      <c r="C29" t="n">
        <v>14</v>
      </c>
      <c r="D29" t="inlineStr">
        <is>
          <t>PD</t>
        </is>
      </c>
      <c r="E29" t="n">
        <v>2.88</v>
      </c>
      <c r="F29" t="n">
        <v>72.84</v>
      </c>
      <c r="G29" t="n">
        <v>1289.82</v>
      </c>
      <c r="H29" t="n">
        <v>0</v>
      </c>
      <c r="I29" t="n">
        <v>0</v>
      </c>
      <c r="J29" t="n">
        <v>0</v>
      </c>
    </row>
    <row r="30" hidden="1">
      <c r="B30" t="inlineStr">
        <is>
          <t>BASE</t>
        </is>
      </c>
      <c r="C30" t="n">
        <v>14</v>
      </c>
      <c r="D30" t="inlineStr">
        <is>
          <t>PL</t>
        </is>
      </c>
      <c r="E30" t="n">
        <v>1.51</v>
      </c>
      <c r="F30" t="n">
        <v>7.99</v>
      </c>
      <c r="G30" t="n">
        <v>197.55</v>
      </c>
      <c r="H30" t="n">
        <v>0</v>
      </c>
      <c r="I30" t="n">
        <v>0</v>
      </c>
      <c r="J30" t="n">
        <v>0</v>
      </c>
    </row>
    <row r="31" hidden="1">
      <c r="B31" t="inlineStr">
        <is>
          <t>BASE</t>
        </is>
      </c>
      <c r="C31" t="n">
        <v>15</v>
      </c>
      <c r="D31" t="inlineStr">
        <is>
          <t>PD</t>
        </is>
      </c>
      <c r="E31" t="n">
        <v>-0.29</v>
      </c>
      <c r="F31" t="n">
        <v>65.51000000000001</v>
      </c>
      <c r="G31" t="n">
        <v>1311.01</v>
      </c>
      <c r="H31" t="n">
        <v>0</v>
      </c>
      <c r="I31" t="n">
        <v>0</v>
      </c>
      <c r="J31" t="n">
        <v>0</v>
      </c>
    </row>
    <row r="32" hidden="1">
      <c r="B32" t="inlineStr">
        <is>
          <t>BASE</t>
        </is>
      </c>
      <c r="C32" t="n">
        <v>15</v>
      </c>
      <c r="D32" t="inlineStr">
        <is>
          <t>PL</t>
        </is>
      </c>
      <c r="E32" t="n">
        <v>-0.14</v>
      </c>
      <c r="F32" t="n">
        <v>10.02</v>
      </c>
      <c r="G32" t="n">
        <v>201.82</v>
      </c>
      <c r="H32" t="n">
        <v>0</v>
      </c>
      <c r="I32" t="n">
        <v>0</v>
      </c>
      <c r="J32" t="n">
        <v>0</v>
      </c>
    </row>
    <row r="33" hidden="1">
      <c r="B33" t="inlineStr">
        <is>
          <t>BASE</t>
        </is>
      </c>
      <c r="C33" t="n">
        <v>16</v>
      </c>
      <c r="D33" t="inlineStr">
        <is>
          <t>PD</t>
        </is>
      </c>
      <c r="E33" t="n">
        <v>0.36</v>
      </c>
      <c r="F33" t="n">
        <v>56.69</v>
      </c>
      <c r="G33" t="n">
        <v>1331.88</v>
      </c>
      <c r="H33" t="n">
        <v>0</v>
      </c>
      <c r="I33" t="n">
        <v>0</v>
      </c>
      <c r="J33" t="n">
        <v>0</v>
      </c>
    </row>
    <row r="34" hidden="1">
      <c r="B34" t="inlineStr">
        <is>
          <t>BASE</t>
        </is>
      </c>
      <c r="C34" t="n">
        <v>16</v>
      </c>
      <c r="D34" t="inlineStr">
        <is>
          <t>PL</t>
        </is>
      </c>
      <c r="E34" t="n">
        <v>0.2</v>
      </c>
      <c r="F34" t="n">
        <v>12.23</v>
      </c>
      <c r="G34" t="n">
        <v>206.41</v>
      </c>
      <c r="H34" t="n">
        <v>0</v>
      </c>
      <c r="I34" t="n">
        <v>0</v>
      </c>
      <c r="J34" t="n">
        <v>0</v>
      </c>
    </row>
    <row r="35" hidden="1">
      <c r="B35" t="inlineStr">
        <is>
          <t>BASE</t>
        </is>
      </c>
      <c r="C35" t="n">
        <v>17</v>
      </c>
      <c r="D35" t="inlineStr">
        <is>
          <t>PD</t>
        </is>
      </c>
      <c r="E35" t="n">
        <v>0.27</v>
      </c>
      <c r="F35" t="n">
        <v>47.49</v>
      </c>
      <c r="G35" t="n">
        <v>1351.28</v>
      </c>
      <c r="H35" t="n">
        <v>0</v>
      </c>
      <c r="I35" t="n">
        <v>0</v>
      </c>
      <c r="J35" t="n">
        <v>0</v>
      </c>
    </row>
    <row r="36" hidden="1">
      <c r="B36" t="inlineStr">
        <is>
          <t>BASE</t>
        </is>
      </c>
      <c r="C36" t="n">
        <v>17</v>
      </c>
      <c r="D36" t="inlineStr">
        <is>
          <t>PL</t>
        </is>
      </c>
      <c r="E36" t="n">
        <v>0.16</v>
      </c>
      <c r="F36" t="n">
        <v>14.4</v>
      </c>
      <c r="G36" t="n">
        <v>211.34</v>
      </c>
      <c r="H36" t="n">
        <v>0</v>
      </c>
      <c r="I36" t="n">
        <v>0</v>
      </c>
      <c r="J36" t="n">
        <v>0</v>
      </c>
    </row>
    <row r="37" hidden="1">
      <c r="B37" t="inlineStr">
        <is>
          <t>BASE</t>
        </is>
      </c>
      <c r="C37" t="n">
        <v>18</v>
      </c>
      <c r="D37" t="inlineStr">
        <is>
          <t>PD</t>
        </is>
      </c>
      <c r="E37" t="n">
        <v>0.14</v>
      </c>
      <c r="F37" t="n">
        <v>38.75</v>
      </c>
      <c r="G37" t="n">
        <v>1368.91</v>
      </c>
      <c r="H37" t="n">
        <v>0</v>
      </c>
      <c r="I37" t="n">
        <v>0</v>
      </c>
      <c r="J37" t="n">
        <v>0</v>
      </c>
    </row>
    <row r="38" hidden="1">
      <c r="B38" t="inlineStr">
        <is>
          <t>BASE</t>
        </is>
      </c>
      <c r="C38" t="n">
        <v>18</v>
      </c>
      <c r="D38" t="inlineStr">
        <is>
          <t>PL</t>
        </is>
      </c>
      <c r="E38" t="n">
        <v>0.09</v>
      </c>
      <c r="F38" t="n">
        <v>16.26</v>
      </c>
      <c r="G38" t="n">
        <v>216.42</v>
      </c>
      <c r="H38" t="n">
        <v>0</v>
      </c>
      <c r="I38" t="n">
        <v>0</v>
      </c>
      <c r="J38" t="n">
        <v>0</v>
      </c>
    </row>
    <row r="39" hidden="1">
      <c r="B39" t="inlineStr">
        <is>
          <t>BASE</t>
        </is>
      </c>
      <c r="C39" t="n">
        <v>19</v>
      </c>
      <c r="D39" t="inlineStr">
        <is>
          <t>PD</t>
        </is>
      </c>
      <c r="E39" t="n">
        <v>0.99</v>
      </c>
      <c r="F39" t="n">
        <v>31.25</v>
      </c>
      <c r="G39" t="n">
        <v>1385.19</v>
      </c>
      <c r="H39" t="n">
        <v>0</v>
      </c>
      <c r="I39" t="n">
        <v>0</v>
      </c>
      <c r="J39" t="n">
        <v>0</v>
      </c>
    </row>
    <row r="40" hidden="1">
      <c r="B40" t="inlineStr">
        <is>
          <t>BASE</t>
        </is>
      </c>
      <c r="C40" t="n">
        <v>19</v>
      </c>
      <c r="D40" t="inlineStr">
        <is>
          <t>PL</t>
        </is>
      </c>
      <c r="E40" t="n">
        <v>0.52</v>
      </c>
      <c r="F40" t="n">
        <v>17.48</v>
      </c>
      <c r="G40" t="n">
        <v>221.22</v>
      </c>
      <c r="H40" t="n">
        <v>0</v>
      </c>
      <c r="I40" t="n">
        <v>0</v>
      </c>
      <c r="J40" t="n">
        <v>0</v>
      </c>
    </row>
    <row r="41" hidden="1">
      <c r="B41" t="inlineStr">
        <is>
          <t>BASE</t>
        </is>
      </c>
      <c r="C41" t="n">
        <v>20</v>
      </c>
      <c r="D41" t="inlineStr">
        <is>
          <t>PD</t>
        </is>
      </c>
      <c r="E41" t="n">
        <v>-3.04</v>
      </c>
      <c r="F41" t="n">
        <v>25.93</v>
      </c>
      <c r="G41" t="n">
        <v>1401.3</v>
      </c>
      <c r="H41" t="n">
        <v>0</v>
      </c>
      <c r="I41" t="n">
        <v>0</v>
      </c>
      <c r="J41" t="n">
        <v>0</v>
      </c>
    </row>
    <row r="42" hidden="1">
      <c r="B42" t="inlineStr">
        <is>
          <t>BASE</t>
        </is>
      </c>
      <c r="C42" t="n">
        <v>20</v>
      </c>
      <c r="D42" t="inlineStr">
        <is>
          <t>PL</t>
        </is>
      </c>
      <c r="E42" t="n">
        <v>-1.52</v>
      </c>
      <c r="F42" t="n">
        <v>17.55</v>
      </c>
      <c r="G42" t="n">
        <v>224.98</v>
      </c>
      <c r="H42" t="n">
        <v>0</v>
      </c>
      <c r="I42" t="n">
        <v>0</v>
      </c>
      <c r="J42" t="n">
        <v>0</v>
      </c>
    </row>
    <row r="43" hidden="1">
      <c r="B43" t="inlineStr">
        <is>
          <t>BASE</t>
        </is>
      </c>
      <c r="C43" t="n">
        <v>21</v>
      </c>
      <c r="D43" t="inlineStr">
        <is>
          <t>PD</t>
        </is>
      </c>
      <c r="E43" t="n">
        <v>16.74</v>
      </c>
      <c r="F43" t="n">
        <v>24.05</v>
      </c>
      <c r="G43" t="n">
        <v>1413.6</v>
      </c>
      <c r="H43" t="n">
        <v>0</v>
      </c>
      <c r="I43" t="n">
        <v>0</v>
      </c>
      <c r="J43" t="n">
        <v>0</v>
      </c>
    </row>
    <row r="44" hidden="1">
      <c r="B44" t="inlineStr">
        <is>
          <t>BASE</t>
        </is>
      </c>
      <c r="C44" t="n">
        <v>21</v>
      </c>
      <c r="D44" t="inlineStr">
        <is>
          <t>PL</t>
        </is>
      </c>
      <c r="E44" t="n">
        <v>8.5</v>
      </c>
      <c r="F44" t="n">
        <v>15.7</v>
      </c>
      <c r="G44" t="n">
        <v>224.44</v>
      </c>
      <c r="H44" t="n">
        <v>0</v>
      </c>
      <c r="I44" t="n">
        <v>0</v>
      </c>
      <c r="J44" t="n">
        <v>0</v>
      </c>
    </row>
    <row r="45" hidden="1">
      <c r="B45" t="inlineStr">
        <is>
          <t>BASE</t>
        </is>
      </c>
      <c r="C45" t="n">
        <v>22</v>
      </c>
      <c r="D45" t="inlineStr">
        <is>
          <t>PD</t>
        </is>
      </c>
      <c r="E45" t="n">
        <v>-12.08</v>
      </c>
      <c r="F45" t="n">
        <v>31.19</v>
      </c>
      <c r="G45" t="n">
        <v>1447.34</v>
      </c>
      <c r="H45" t="n">
        <v>0</v>
      </c>
      <c r="I45" t="n">
        <v>0</v>
      </c>
      <c r="J45" t="n">
        <v>0</v>
      </c>
    </row>
    <row r="46" hidden="1">
      <c r="B46" t="inlineStr">
        <is>
          <t>BASE</t>
        </is>
      </c>
      <c r="C46" t="n">
        <v>22</v>
      </c>
      <c r="D46" t="inlineStr">
        <is>
          <t>PL</t>
        </is>
      </c>
      <c r="E46" t="n">
        <v>-3.07</v>
      </c>
      <c r="F46" t="n">
        <v>7.16</v>
      </c>
      <c r="G46" t="n">
        <v>238.82</v>
      </c>
      <c r="H46" t="n">
        <v>0</v>
      </c>
      <c r="I46" t="n">
        <v>0</v>
      </c>
      <c r="J46" t="n">
        <v>0</v>
      </c>
    </row>
    <row r="47" hidden="1">
      <c r="B47" t="inlineStr">
        <is>
          <t>BASE</t>
        </is>
      </c>
      <c r="C47" t="n">
        <v>23</v>
      </c>
      <c r="D47" t="inlineStr">
        <is>
          <t>PD</t>
        </is>
      </c>
      <c r="E47" t="n">
        <v>2.9</v>
      </c>
      <c r="F47" t="n">
        <v>30.61</v>
      </c>
      <c r="G47" t="n">
        <v>1443.8</v>
      </c>
      <c r="H47" t="n">
        <v>0</v>
      </c>
      <c r="I47" t="n">
        <v>0</v>
      </c>
      <c r="J47" t="n">
        <v>0</v>
      </c>
    </row>
    <row r="48" hidden="1">
      <c r="B48" t="inlineStr">
        <is>
          <t>BASE</t>
        </is>
      </c>
      <c r="C48" t="n">
        <v>23</v>
      </c>
      <c r="D48" t="inlineStr">
        <is>
          <t>PL</t>
        </is>
      </c>
      <c r="E48" t="n">
        <v>0.88</v>
      </c>
      <c r="F48" t="n">
        <v>5.8</v>
      </c>
      <c r="G48" t="n">
        <v>244.11</v>
      </c>
      <c r="H48" t="n">
        <v>0</v>
      </c>
      <c r="I48" t="n">
        <v>0</v>
      </c>
      <c r="J48" t="n">
        <v>0</v>
      </c>
    </row>
    <row r="49" hidden="1">
      <c r="B49" t="inlineStr">
        <is>
          <t>BASE</t>
        </is>
      </c>
      <c r="C49" t="n">
        <v>24</v>
      </c>
      <c r="D49" t="inlineStr">
        <is>
          <t>PD</t>
        </is>
      </c>
      <c r="E49" t="n">
        <v>-0.2</v>
      </c>
      <c r="F49" t="n">
        <v>26.44</v>
      </c>
      <c r="G49" t="n">
        <v>1448.32</v>
      </c>
      <c r="H49" t="n">
        <v>0</v>
      </c>
      <c r="I49" t="n">
        <v>0</v>
      </c>
      <c r="J49" t="n">
        <v>0</v>
      </c>
    </row>
    <row r="50" hidden="1">
      <c r="B50" t="inlineStr">
        <is>
          <t>BASE</t>
        </is>
      </c>
      <c r="C50" t="n">
        <v>24</v>
      </c>
      <c r="D50" t="inlineStr">
        <is>
          <t>PL</t>
        </is>
      </c>
      <c r="E50" t="n">
        <v>0.07000000000000001</v>
      </c>
      <c r="F50" t="n">
        <v>6.22</v>
      </c>
      <c r="G50" t="n">
        <v>249.46</v>
      </c>
      <c r="H50" t="n">
        <v>0</v>
      </c>
      <c r="I50" t="n">
        <v>0</v>
      </c>
      <c r="J50" t="n">
        <v>0</v>
      </c>
    </row>
    <row r="51" hidden="1">
      <c r="B51" t="inlineStr">
        <is>
          <t>BASE</t>
        </is>
      </c>
      <c r="C51" t="n">
        <v>25</v>
      </c>
      <c r="D51" t="inlineStr">
        <is>
          <t>PD</t>
        </is>
      </c>
      <c r="E51" t="n">
        <v>0.42</v>
      </c>
      <c r="F51" t="n">
        <v>20.17</v>
      </c>
      <c r="G51" t="n">
        <v>1453.56</v>
      </c>
      <c r="H51" t="n">
        <v>0</v>
      </c>
      <c r="I51" t="n">
        <v>0</v>
      </c>
      <c r="J51" t="n">
        <v>0</v>
      </c>
    </row>
    <row r="52" hidden="1">
      <c r="B52" t="inlineStr">
        <is>
          <t>BASE</t>
        </is>
      </c>
      <c r="C52" t="n">
        <v>25</v>
      </c>
      <c r="D52" t="inlineStr">
        <is>
          <t>PL</t>
        </is>
      </c>
      <c r="E52" t="n">
        <v>0.24</v>
      </c>
      <c r="F52" t="n">
        <v>7.66</v>
      </c>
      <c r="G52" t="n">
        <v>253.75</v>
      </c>
      <c r="H52" t="n">
        <v>0</v>
      </c>
      <c r="I52" t="n">
        <v>0</v>
      </c>
      <c r="J52" t="n">
        <v>0</v>
      </c>
    </row>
    <row r="53" hidden="1">
      <c r="B53" t="inlineStr">
        <is>
          <t>BASE</t>
        </is>
      </c>
      <c r="C53" t="n">
        <v>26</v>
      </c>
      <c r="D53" t="inlineStr">
        <is>
          <t>PD</t>
        </is>
      </c>
      <c r="E53" t="n">
        <v>0.33</v>
      </c>
      <c r="F53" t="n">
        <v>12.98</v>
      </c>
      <c r="G53" t="n">
        <v>1458.52</v>
      </c>
      <c r="H53" t="n">
        <v>0</v>
      </c>
      <c r="I53" t="n">
        <v>0</v>
      </c>
      <c r="J53" t="n">
        <v>0</v>
      </c>
    </row>
    <row r="54" hidden="1">
      <c r="B54" t="inlineStr">
        <is>
          <t>BASE</t>
        </is>
      </c>
      <c r="C54" t="n">
        <v>26</v>
      </c>
      <c r="D54" t="inlineStr">
        <is>
          <t>PL</t>
        </is>
      </c>
      <c r="E54" t="n">
        <v>0.22</v>
      </c>
      <c r="F54" t="n">
        <v>9.51</v>
      </c>
      <c r="G54" t="n">
        <v>257.57</v>
      </c>
      <c r="H54" t="n">
        <v>0</v>
      </c>
      <c r="I54" t="n">
        <v>0</v>
      </c>
      <c r="J54" t="n">
        <v>0</v>
      </c>
    </row>
    <row r="55" hidden="1">
      <c r="B55" t="inlineStr">
        <is>
          <t>BASE</t>
        </is>
      </c>
      <c r="C55" t="n">
        <v>27</v>
      </c>
      <c r="D55" t="inlineStr">
        <is>
          <t>PD</t>
        </is>
      </c>
      <c r="E55" t="n">
        <v>0.18</v>
      </c>
      <c r="F55" t="n">
        <v>5.92</v>
      </c>
      <c r="G55" t="n">
        <v>1463.02</v>
      </c>
      <c r="H55" t="n">
        <v>0</v>
      </c>
      <c r="I55" t="n">
        <v>0</v>
      </c>
      <c r="J55" t="n">
        <v>0</v>
      </c>
    </row>
    <row r="56" hidden="1">
      <c r="B56" t="inlineStr">
        <is>
          <t>BASE</t>
        </is>
      </c>
      <c r="C56" t="n">
        <v>27</v>
      </c>
      <c r="D56" t="inlineStr">
        <is>
          <t>PL</t>
        </is>
      </c>
      <c r="E56" t="n">
        <v>0.18</v>
      </c>
      <c r="F56" t="n">
        <v>11.28</v>
      </c>
      <c r="G56" t="n">
        <v>261.03</v>
      </c>
      <c r="H56" t="n">
        <v>0</v>
      </c>
      <c r="I56" t="n">
        <v>0</v>
      </c>
      <c r="J56" t="n">
        <v>0</v>
      </c>
    </row>
    <row r="57" hidden="1">
      <c r="B57" t="inlineStr">
        <is>
          <t>BASE</t>
        </is>
      </c>
      <c r="C57" t="n">
        <v>28</v>
      </c>
      <c r="D57" t="inlineStr">
        <is>
          <t>PD</t>
        </is>
      </c>
      <c r="E57" t="n">
        <v>1.12</v>
      </c>
      <c r="F57" t="n">
        <v>0.14</v>
      </c>
      <c r="G57" t="n">
        <v>1467.75</v>
      </c>
      <c r="H57" t="n">
        <v>0</v>
      </c>
      <c r="I57" t="n">
        <v>0</v>
      </c>
      <c r="J57" t="n">
        <v>0</v>
      </c>
    </row>
    <row r="58" hidden="1">
      <c r="B58" t="inlineStr">
        <is>
          <t>BASE</t>
        </is>
      </c>
      <c r="C58" t="n">
        <v>28</v>
      </c>
      <c r="D58" t="inlineStr">
        <is>
          <t>PL</t>
        </is>
      </c>
      <c r="E58" t="n">
        <v>0.47</v>
      </c>
      <c r="F58" t="n">
        <v>12.44</v>
      </c>
      <c r="G58" t="n">
        <v>263.85</v>
      </c>
      <c r="H58" t="n">
        <v>0</v>
      </c>
      <c r="I58" t="n">
        <v>0</v>
      </c>
      <c r="J58" t="n">
        <v>0</v>
      </c>
    </row>
    <row r="59" hidden="1">
      <c r="B59" t="inlineStr">
        <is>
          <t>BASE</t>
        </is>
      </c>
      <c r="C59" t="n">
        <v>29</v>
      </c>
      <c r="D59" t="inlineStr">
        <is>
          <t>PD</t>
        </is>
      </c>
      <c r="E59" t="n">
        <v>-3.32</v>
      </c>
      <c r="F59" t="n">
        <v>-2.89</v>
      </c>
      <c r="G59" t="n">
        <v>1474.36</v>
      </c>
      <c r="H59" t="n">
        <v>0</v>
      </c>
      <c r="I59" t="n">
        <v>0</v>
      </c>
      <c r="J59" t="n">
        <v>0</v>
      </c>
    </row>
    <row r="60" hidden="1">
      <c r="B60" t="inlineStr">
        <is>
          <t>BASE</t>
        </is>
      </c>
      <c r="C60" t="n">
        <v>29</v>
      </c>
      <c r="D60" t="inlineStr">
        <is>
          <t>PL</t>
        </is>
      </c>
      <c r="E60" t="n">
        <v>-0.89</v>
      </c>
      <c r="F60" t="n">
        <v>12.33</v>
      </c>
      <c r="G60" t="n">
        <v>265.24</v>
      </c>
      <c r="H60" t="n">
        <v>0</v>
      </c>
      <c r="I60" t="n">
        <v>0</v>
      </c>
      <c r="J60" t="n">
        <v>0</v>
      </c>
    </row>
    <row r="61" hidden="1">
      <c r="B61" t="inlineStr">
        <is>
          <t>BASE</t>
        </is>
      </c>
      <c r="C61" t="n">
        <v>30</v>
      </c>
      <c r="D61" t="inlineStr">
        <is>
          <t>PD</t>
        </is>
      </c>
      <c r="E61" t="n">
        <v>18.5</v>
      </c>
      <c r="F61" t="n">
        <v>-1.2</v>
      </c>
      <c r="G61" t="n">
        <v>1483.8</v>
      </c>
      <c r="H61" t="n">
        <v>0</v>
      </c>
      <c r="I61" t="n">
        <v>0</v>
      </c>
      <c r="J61" t="n">
        <v>0</v>
      </c>
    </row>
    <row r="62" hidden="1">
      <c r="B62" t="inlineStr">
        <is>
          <t>BASE</t>
        </is>
      </c>
      <c r="C62" t="n">
        <v>30</v>
      </c>
      <c r="D62" t="inlineStr">
        <is>
          <t>PL</t>
        </is>
      </c>
      <c r="E62" t="n">
        <v>5.8</v>
      </c>
      <c r="F62" t="n">
        <v>10.01</v>
      </c>
      <c r="G62" t="n">
        <v>263.13</v>
      </c>
      <c r="H62" t="n">
        <v>0</v>
      </c>
      <c r="I62" t="n">
        <v>0</v>
      </c>
      <c r="J62" t="n">
        <v>0</v>
      </c>
    </row>
    <row r="63" hidden="1">
      <c r="B63" t="inlineStr">
        <is>
          <t>BASE</t>
        </is>
      </c>
      <c r="C63" t="n">
        <v>31</v>
      </c>
      <c r="D63" t="inlineStr">
        <is>
          <t>PD</t>
        </is>
      </c>
      <c r="E63" t="n">
        <v>3.02</v>
      </c>
      <c r="F63" t="n">
        <v>16.03</v>
      </c>
      <c r="G63" t="n">
        <v>1492.58</v>
      </c>
      <c r="H63" t="n">
        <v>0</v>
      </c>
      <c r="I63" t="n">
        <v>0</v>
      </c>
      <c r="J63" t="n">
        <v>0</v>
      </c>
    </row>
    <row r="64" hidden="1">
      <c r="B64" t="inlineStr">
        <is>
          <t>BASE</t>
        </is>
      </c>
      <c r="C64" t="n">
        <v>31</v>
      </c>
      <c r="D64" t="inlineStr">
        <is>
          <t>PL</t>
        </is>
      </c>
      <c r="E64" t="n">
        <v>1.31</v>
      </c>
      <c r="F64" t="n">
        <v>-0.58</v>
      </c>
      <c r="G64" t="n">
        <v>269.44</v>
      </c>
      <c r="H64" t="n">
        <v>0</v>
      </c>
      <c r="I64" t="n">
        <v>0</v>
      </c>
      <c r="J64" t="n">
        <v>0</v>
      </c>
    </row>
    <row r="65" hidden="1">
      <c r="B65" t="inlineStr">
        <is>
          <t>BASE</t>
        </is>
      </c>
      <c r="C65" t="n">
        <v>32</v>
      </c>
      <c r="D65" t="inlineStr">
        <is>
          <t>PD</t>
        </is>
      </c>
      <c r="E65" t="n">
        <v>-0.13</v>
      </c>
      <c r="F65" t="n">
        <v>18.01</v>
      </c>
      <c r="G65" t="n">
        <v>1483.89</v>
      </c>
      <c r="H65" t="n">
        <v>0</v>
      </c>
      <c r="I65" t="n">
        <v>0</v>
      </c>
      <c r="J65" t="n">
        <v>0</v>
      </c>
    </row>
    <row r="66" hidden="1">
      <c r="B66" t="inlineStr">
        <is>
          <t>BASE</t>
        </is>
      </c>
      <c r="C66" t="n">
        <v>32</v>
      </c>
      <c r="D66" t="inlineStr">
        <is>
          <t>PL</t>
        </is>
      </c>
      <c r="E66" t="n">
        <v>0.05</v>
      </c>
      <c r="F66" t="n">
        <v>-2.59</v>
      </c>
      <c r="G66" t="n">
        <v>273.85</v>
      </c>
      <c r="H66" t="n">
        <v>0</v>
      </c>
      <c r="I66" t="n">
        <v>0</v>
      </c>
      <c r="J66" t="n">
        <v>0</v>
      </c>
    </row>
    <row r="67" hidden="1">
      <c r="B67" t="inlineStr">
        <is>
          <t>BASE</t>
        </is>
      </c>
      <c r="C67" t="n">
        <v>33</v>
      </c>
      <c r="D67" t="inlineStr">
        <is>
          <t>PD</t>
        </is>
      </c>
      <c r="E67" t="n">
        <v>0.47</v>
      </c>
      <c r="F67" t="n">
        <v>14.95</v>
      </c>
      <c r="G67" t="n">
        <v>1481.5</v>
      </c>
      <c r="H67" t="n">
        <v>0</v>
      </c>
      <c r="I67" t="n">
        <v>0</v>
      </c>
      <c r="J67" t="n">
        <v>0</v>
      </c>
    </row>
    <row r="68" hidden="1">
      <c r="B68" t="inlineStr">
        <is>
          <t>BASE</t>
        </is>
      </c>
      <c r="C68" t="n">
        <v>33</v>
      </c>
      <c r="D68" t="inlineStr">
        <is>
          <t>PL</t>
        </is>
      </c>
      <c r="E68" t="n">
        <v>0.3</v>
      </c>
      <c r="F68" t="n">
        <v>-2.47</v>
      </c>
      <c r="G68" t="n">
        <v>276.51</v>
      </c>
      <c r="H68" t="n">
        <v>0</v>
      </c>
      <c r="I68" t="n">
        <v>0</v>
      </c>
      <c r="J68" t="n">
        <v>0</v>
      </c>
    </row>
    <row r="69" hidden="1">
      <c r="B69" t="inlineStr">
        <is>
          <t>BASE</t>
        </is>
      </c>
      <c r="C69" t="n">
        <v>34</v>
      </c>
      <c r="D69" t="inlineStr">
        <is>
          <t>PD</t>
        </is>
      </c>
      <c r="E69" t="n">
        <v>0.32</v>
      </c>
      <c r="F69" t="n">
        <v>8.949999999999999</v>
      </c>
      <c r="G69" t="n">
        <v>1481.16</v>
      </c>
      <c r="H69" t="n">
        <v>0</v>
      </c>
      <c r="I69" t="n">
        <v>0</v>
      </c>
      <c r="J69" t="n">
        <v>0</v>
      </c>
    </row>
    <row r="70" hidden="1">
      <c r="B70" t="inlineStr">
        <is>
          <t>BASE</t>
        </is>
      </c>
      <c r="C70" t="n">
        <v>34</v>
      </c>
      <c r="D70" t="inlineStr">
        <is>
          <t>PL</t>
        </is>
      </c>
      <c r="E70" t="n">
        <v>0.24</v>
      </c>
      <c r="F70" t="n">
        <v>-1.13</v>
      </c>
      <c r="G70" t="n">
        <v>277.87</v>
      </c>
      <c r="H70" t="n">
        <v>0</v>
      </c>
      <c r="I70" t="n">
        <v>0</v>
      </c>
      <c r="J70" t="n">
        <v>0</v>
      </c>
    </row>
    <row r="71" hidden="1">
      <c r="B71" t="inlineStr">
        <is>
          <t>BASE</t>
        </is>
      </c>
      <c r="C71" t="n">
        <v>35</v>
      </c>
      <c r="D71" t="inlineStr">
        <is>
          <t>PD</t>
        </is>
      </c>
      <c r="E71" t="n">
        <v>0.35</v>
      </c>
      <c r="F71" t="n">
        <v>1.6</v>
      </c>
      <c r="G71" t="n">
        <v>1481.28</v>
      </c>
      <c r="H71" t="n">
        <v>0</v>
      </c>
      <c r="I71" t="n">
        <v>0</v>
      </c>
      <c r="J71" t="n">
        <v>0</v>
      </c>
    </row>
    <row r="72" hidden="1">
      <c r="B72" t="inlineStr">
        <is>
          <t>BASE</t>
        </is>
      </c>
      <c r="C72" t="n">
        <v>35</v>
      </c>
      <c r="D72" t="inlineStr">
        <is>
          <t>PL</t>
        </is>
      </c>
      <c r="E72" t="n">
        <v>0.26</v>
      </c>
      <c r="F72" t="n">
        <v>0.79</v>
      </c>
      <c r="G72" t="n">
        <v>278.65</v>
      </c>
      <c r="H72" t="n">
        <v>0</v>
      </c>
      <c r="I72" t="n">
        <v>0</v>
      </c>
      <c r="J72" t="n">
        <v>0</v>
      </c>
    </row>
    <row r="73" hidden="1">
      <c r="B73" t="inlineStr">
        <is>
          <t>BASE</t>
        </is>
      </c>
      <c r="C73" t="n">
        <v>36</v>
      </c>
      <c r="D73" t="inlineStr">
        <is>
          <t>PD</t>
        </is>
      </c>
      <c r="E73" t="n">
        <v>0.31</v>
      </c>
      <c r="F73" t="n">
        <v>-5.77</v>
      </c>
      <c r="G73" t="n">
        <v>1481.32</v>
      </c>
      <c r="H73" t="n">
        <v>0</v>
      </c>
      <c r="I73" t="n">
        <v>0</v>
      </c>
      <c r="J73" t="n">
        <v>0</v>
      </c>
    </row>
    <row r="74" hidden="1">
      <c r="B74" t="inlineStr">
        <is>
          <t>BASE</t>
        </is>
      </c>
      <c r="C74" t="n">
        <v>36</v>
      </c>
      <c r="D74" t="inlineStr">
        <is>
          <t>PL</t>
        </is>
      </c>
      <c r="E74" t="n">
        <v>0.24</v>
      </c>
      <c r="F74" t="n">
        <v>2.75</v>
      </c>
      <c r="G74" t="n">
        <v>279.09</v>
      </c>
      <c r="H74" t="n">
        <v>0</v>
      </c>
      <c r="I74" t="n">
        <v>0</v>
      </c>
      <c r="J74" t="n">
        <v>0</v>
      </c>
    </row>
    <row r="75" hidden="1">
      <c r="B75" t="inlineStr">
        <is>
          <t>BASE</t>
        </is>
      </c>
      <c r="C75" t="n">
        <v>37</v>
      </c>
      <c r="D75" t="inlineStr">
        <is>
          <t>PD</t>
        </is>
      </c>
      <c r="E75" t="n">
        <v>0.54</v>
      </c>
      <c r="F75" t="n">
        <v>-11.83</v>
      </c>
      <c r="G75" t="n">
        <v>1481.79</v>
      </c>
      <c r="H75" t="n">
        <v>0</v>
      </c>
      <c r="I75" t="n">
        <v>0</v>
      </c>
      <c r="J75" t="n">
        <v>0</v>
      </c>
    </row>
    <row r="76" hidden="1">
      <c r="B76" t="inlineStr">
        <is>
          <t>BASE</t>
        </is>
      </c>
      <c r="C76" t="n">
        <v>37</v>
      </c>
      <c r="D76" t="inlineStr">
        <is>
          <t>PL</t>
        </is>
      </c>
      <c r="E76" t="n">
        <v>0.32</v>
      </c>
      <c r="F76" t="n">
        <v>4.22</v>
      </c>
      <c r="G76" t="n">
        <v>279.03</v>
      </c>
      <c r="H76" t="n">
        <v>0</v>
      </c>
      <c r="I76" t="n">
        <v>0</v>
      </c>
      <c r="J76" t="n">
        <v>0</v>
      </c>
    </row>
    <row r="77" hidden="1">
      <c r="B77" t="inlineStr">
        <is>
          <t>BASE</t>
        </is>
      </c>
      <c r="C77" t="n">
        <v>38</v>
      </c>
      <c r="D77" t="inlineStr">
        <is>
          <t>PD</t>
        </is>
      </c>
      <c r="E77" t="n">
        <v>-0.45</v>
      </c>
      <c r="F77" t="n">
        <v>-14.98</v>
      </c>
      <c r="G77" t="n">
        <v>1484.28</v>
      </c>
      <c r="H77" t="n">
        <v>0</v>
      </c>
      <c r="I77" t="n">
        <v>0</v>
      </c>
      <c r="J77" t="n">
        <v>0</v>
      </c>
    </row>
    <row r="78" hidden="1">
      <c r="B78" t="inlineStr">
        <is>
          <t>BASE</t>
        </is>
      </c>
      <c r="C78" t="n">
        <v>38</v>
      </c>
      <c r="D78" t="inlineStr">
        <is>
          <t>PL</t>
        </is>
      </c>
      <c r="E78" t="n">
        <v>-0.03</v>
      </c>
      <c r="F78" t="n">
        <v>4.6</v>
      </c>
      <c r="G78" t="n">
        <v>277.82</v>
      </c>
      <c r="H78" t="n">
        <v>0</v>
      </c>
      <c r="I78" t="n">
        <v>0</v>
      </c>
      <c r="J78" t="n">
        <v>0</v>
      </c>
    </row>
    <row r="79" hidden="1">
      <c r="B79" t="inlineStr">
        <is>
          <t>BASE</t>
        </is>
      </c>
      <c r="C79" t="n">
        <v>39</v>
      </c>
      <c r="D79" t="inlineStr">
        <is>
          <t>PD</t>
        </is>
      </c>
      <c r="E79" t="n">
        <v>4.63</v>
      </c>
      <c r="F79" t="n">
        <v>-13.14</v>
      </c>
      <c r="G79" t="n">
        <v>1492.09</v>
      </c>
      <c r="H79" t="n">
        <v>0</v>
      </c>
      <c r="I79" t="n">
        <v>0</v>
      </c>
      <c r="J79" t="n">
        <v>0</v>
      </c>
    </row>
    <row r="80" hidden="1">
      <c r="B80" t="inlineStr">
        <is>
          <t>BASE</t>
        </is>
      </c>
      <c r="C80" t="n">
        <v>39</v>
      </c>
      <c r="D80" t="inlineStr">
        <is>
          <t>PL</t>
        </is>
      </c>
      <c r="E80" t="n">
        <v>1.7</v>
      </c>
      <c r="F80" t="n">
        <v>3.01</v>
      </c>
      <c r="G80" t="n">
        <v>274.68</v>
      </c>
      <c r="H80" t="n">
        <v>0</v>
      </c>
      <c r="I80" t="n">
        <v>0</v>
      </c>
      <c r="J80" t="n">
        <v>0</v>
      </c>
    </row>
    <row r="81" hidden="1">
      <c r="B81" t="inlineStr">
        <is>
          <t>BASE</t>
        </is>
      </c>
      <c r="C81" t="n">
        <v>40</v>
      </c>
      <c r="D81" t="inlineStr">
        <is>
          <t>PD</t>
        </is>
      </c>
      <c r="E81" t="n">
        <v>5.11</v>
      </c>
      <c r="F81" t="n">
        <v>4</v>
      </c>
      <c r="G81" t="n">
        <v>1485.56</v>
      </c>
      <c r="H81" t="n">
        <v>0</v>
      </c>
      <c r="I81" t="n">
        <v>0</v>
      </c>
      <c r="J81" t="n">
        <v>0</v>
      </c>
    </row>
    <row r="82" hidden="1">
      <c r="B82" t="inlineStr">
        <is>
          <t>BASE</t>
        </is>
      </c>
      <c r="C82" t="n">
        <v>40</v>
      </c>
      <c r="D82" t="inlineStr">
        <is>
          <t>PL</t>
        </is>
      </c>
      <c r="E82" t="n">
        <v>2.24</v>
      </c>
      <c r="F82" t="n">
        <v>-6.1</v>
      </c>
      <c r="G82" t="n">
        <v>272.85</v>
      </c>
      <c r="H82" t="n">
        <v>0</v>
      </c>
      <c r="I82" t="n">
        <v>0</v>
      </c>
      <c r="J82" t="n">
        <v>0</v>
      </c>
    </row>
    <row r="83" hidden="1">
      <c r="B83" t="inlineStr">
        <is>
          <t>BASE</t>
        </is>
      </c>
      <c r="C83" t="n">
        <v>41</v>
      </c>
      <c r="D83" t="inlineStr">
        <is>
          <t>PD</t>
        </is>
      </c>
      <c r="E83" t="n">
        <v>-0.55</v>
      </c>
      <c r="F83" t="n">
        <v>5.46</v>
      </c>
      <c r="G83" t="n">
        <v>1474.55</v>
      </c>
      <c r="H83" t="n">
        <v>0</v>
      </c>
      <c r="I83" t="n">
        <v>0</v>
      </c>
      <c r="J83" t="n">
        <v>0</v>
      </c>
    </row>
    <row r="84" hidden="1">
      <c r="B84" t="inlineStr">
        <is>
          <t>BASE</t>
        </is>
      </c>
      <c r="C84" t="n">
        <v>41</v>
      </c>
      <c r="D84" t="inlineStr">
        <is>
          <t>PL</t>
        </is>
      </c>
      <c r="E84" t="n">
        <v>-0.14</v>
      </c>
      <c r="F84" t="n">
        <v>-7.84</v>
      </c>
      <c r="G84" t="n">
        <v>276.06</v>
      </c>
      <c r="H84" t="n">
        <v>0</v>
      </c>
      <c r="I84" t="n">
        <v>0</v>
      </c>
      <c r="J84" t="n">
        <v>0</v>
      </c>
    </row>
    <row r="85" hidden="1">
      <c r="B85" t="inlineStr">
        <is>
          <t>BASE</t>
        </is>
      </c>
      <c r="C85" t="n">
        <v>42</v>
      </c>
      <c r="D85" t="inlineStr">
        <is>
          <t>PD</t>
        </is>
      </c>
      <c r="E85" t="n">
        <v>0.5600000000000001</v>
      </c>
      <c r="F85" t="n">
        <v>1.9</v>
      </c>
      <c r="G85" t="n">
        <v>1467.28</v>
      </c>
      <c r="H85" t="n">
        <v>0</v>
      </c>
      <c r="I85" t="n">
        <v>0</v>
      </c>
      <c r="J85" t="n">
        <v>0</v>
      </c>
    </row>
    <row r="86" hidden="1">
      <c r="B86" t="inlineStr">
        <is>
          <t>BASE</t>
        </is>
      </c>
      <c r="C86" t="n">
        <v>42</v>
      </c>
      <c r="D86" t="inlineStr">
        <is>
          <t>PL</t>
        </is>
      </c>
      <c r="E86" t="n">
        <v>0.34</v>
      </c>
      <c r="F86" t="n">
        <v>-7.6</v>
      </c>
      <c r="G86" t="n">
        <v>276.49</v>
      </c>
      <c r="H86" t="n">
        <v>0</v>
      </c>
      <c r="I86" t="n">
        <v>0</v>
      </c>
      <c r="J86" t="n">
        <v>0</v>
      </c>
    </row>
    <row r="87" hidden="1">
      <c r="B87" t="inlineStr">
        <is>
          <t>BASE</t>
        </is>
      </c>
      <c r="C87" t="n">
        <v>43</v>
      </c>
      <c r="D87" t="inlineStr">
        <is>
          <t>PD</t>
        </is>
      </c>
      <c r="E87" t="n">
        <v>0.3</v>
      </c>
      <c r="F87" t="n">
        <v>-4.64</v>
      </c>
      <c r="G87" t="n">
        <v>1461.76</v>
      </c>
      <c r="H87" t="n">
        <v>0</v>
      </c>
      <c r="I87" t="n">
        <v>0</v>
      </c>
      <c r="J87" t="n">
        <v>0</v>
      </c>
    </row>
    <row r="88" hidden="1">
      <c r="B88" t="inlineStr">
        <is>
          <t>BASE</t>
        </is>
      </c>
      <c r="C88" t="n">
        <v>43</v>
      </c>
      <c r="D88" t="inlineStr">
        <is>
          <t>PL</t>
        </is>
      </c>
      <c r="E88" t="n">
        <v>0.23</v>
      </c>
      <c r="F88" t="n">
        <v>-6.24</v>
      </c>
      <c r="G88" t="n">
        <v>275.68</v>
      </c>
      <c r="H88" t="n">
        <v>0</v>
      </c>
      <c r="I88" t="n">
        <v>0</v>
      </c>
      <c r="J88" t="n">
        <v>0</v>
      </c>
    </row>
    <row r="89" hidden="1">
      <c r="B89" t="inlineStr">
        <is>
          <t>BASE</t>
        </is>
      </c>
      <c r="C89" t="n">
        <v>44</v>
      </c>
      <c r="D89" t="inlineStr">
        <is>
          <t>PD</t>
        </is>
      </c>
      <c r="E89" t="n">
        <v>0.35</v>
      </c>
      <c r="F89" t="n">
        <v>-12.63</v>
      </c>
      <c r="G89" t="n">
        <v>1456.33</v>
      </c>
      <c r="H89" t="n">
        <v>0</v>
      </c>
      <c r="I89" t="n">
        <v>0</v>
      </c>
      <c r="J89" t="n">
        <v>0</v>
      </c>
    </row>
    <row r="90" hidden="1">
      <c r="B90" t="inlineStr">
        <is>
          <t>BASE</t>
        </is>
      </c>
      <c r="C90" t="n">
        <v>44</v>
      </c>
      <c r="D90" t="inlineStr">
        <is>
          <t>PL</t>
        </is>
      </c>
      <c r="E90" t="n">
        <v>0.25</v>
      </c>
      <c r="F90" t="n">
        <v>-4.41</v>
      </c>
      <c r="G90" t="n">
        <v>274.28</v>
      </c>
      <c r="H90" t="n">
        <v>0</v>
      </c>
      <c r="I90" t="n">
        <v>0</v>
      </c>
      <c r="J90" t="n">
        <v>0</v>
      </c>
    </row>
    <row r="91" hidden="1">
      <c r="B91" t="inlineStr">
        <is>
          <t>BASE</t>
        </is>
      </c>
      <c r="C91" t="n">
        <v>45</v>
      </c>
      <c r="D91" t="inlineStr">
        <is>
          <t>PD</t>
        </is>
      </c>
      <c r="E91" t="n">
        <v>0.32</v>
      </c>
      <c r="F91" t="n">
        <v>-20.81</v>
      </c>
      <c r="G91" t="n">
        <v>1450.38</v>
      </c>
      <c r="H91" t="n">
        <v>0</v>
      </c>
      <c r="I91" t="n">
        <v>0</v>
      </c>
      <c r="J91" t="n">
        <v>0</v>
      </c>
    </row>
    <row r="92" hidden="1">
      <c r="B92" t="inlineStr">
        <is>
          <t>BASE</t>
        </is>
      </c>
      <c r="C92" t="n">
        <v>45</v>
      </c>
      <c r="D92" t="inlineStr">
        <is>
          <t>PL</t>
        </is>
      </c>
      <c r="E92" t="n">
        <v>0.24</v>
      </c>
      <c r="F92" t="n">
        <v>-2.66</v>
      </c>
      <c r="G92" t="n">
        <v>272.45</v>
      </c>
      <c r="H92" t="n">
        <v>0</v>
      </c>
      <c r="I92" t="n">
        <v>0</v>
      </c>
      <c r="J92" t="n">
        <v>0</v>
      </c>
    </row>
    <row r="93" hidden="1">
      <c r="B93" t="inlineStr">
        <is>
          <t>BASE</t>
        </is>
      </c>
      <c r="C93" t="n">
        <v>46</v>
      </c>
      <c r="D93" t="inlineStr">
        <is>
          <t>PD</t>
        </is>
      </c>
      <c r="E93" t="n">
        <v>0.45</v>
      </c>
      <c r="F93" t="n">
        <v>-27.94</v>
      </c>
      <c r="G93" t="n">
        <v>1444.25</v>
      </c>
      <c r="H93" t="n">
        <v>0</v>
      </c>
      <c r="I93" t="n">
        <v>0</v>
      </c>
      <c r="J93" t="n">
        <v>0</v>
      </c>
    </row>
    <row r="94" hidden="1">
      <c r="B94" t="inlineStr">
        <is>
          <t>BASE</t>
        </is>
      </c>
      <c r="C94" t="n">
        <v>46</v>
      </c>
      <c r="D94" t="inlineStr">
        <is>
          <t>PL</t>
        </is>
      </c>
      <c r="E94" t="n">
        <v>0.27</v>
      </c>
      <c r="F94" t="n">
        <v>-1.54</v>
      </c>
      <c r="G94" t="n">
        <v>269.92</v>
      </c>
      <c r="H94" t="n">
        <v>0</v>
      </c>
      <c r="I94" t="n">
        <v>0</v>
      </c>
      <c r="J94" t="n">
        <v>0</v>
      </c>
    </row>
    <row r="95" hidden="1">
      <c r="B95" t="inlineStr">
        <is>
          <t>BASE</t>
        </is>
      </c>
      <c r="C95" t="n">
        <v>47</v>
      </c>
      <c r="D95" t="inlineStr">
        <is>
          <t>PD</t>
        </is>
      </c>
      <c r="E95" t="n">
        <v>-0.03</v>
      </c>
      <c r="F95" t="n">
        <v>-32.59</v>
      </c>
      <c r="G95" t="n">
        <v>1439.25</v>
      </c>
      <c r="H95" t="n">
        <v>0</v>
      </c>
      <c r="I95" t="n">
        <v>0</v>
      </c>
      <c r="J95" t="n">
        <v>0</v>
      </c>
    </row>
    <row r="96" hidden="1">
      <c r="B96" t="inlineStr">
        <is>
          <t>BASE</t>
        </is>
      </c>
      <c r="C96" t="n">
        <v>47</v>
      </c>
      <c r="D96" t="inlineStr">
        <is>
          <t>PL</t>
        </is>
      </c>
      <c r="E96" t="n">
        <v>0.16</v>
      </c>
      <c r="F96" t="n">
        <v>-1.72</v>
      </c>
      <c r="G96" t="n">
        <v>265.91</v>
      </c>
      <c r="H96" t="n">
        <v>0</v>
      </c>
      <c r="I96" t="n">
        <v>0</v>
      </c>
      <c r="J96" t="n">
        <v>0</v>
      </c>
    </row>
    <row r="97" hidden="1">
      <c r="B97" t="inlineStr">
        <is>
          <t>BASE</t>
        </is>
      </c>
      <c r="C97" t="n">
        <v>48</v>
      </c>
      <c r="D97" t="inlineStr">
        <is>
          <t>PD</t>
        </is>
      </c>
      <c r="E97" t="n">
        <v>2.51</v>
      </c>
      <c r="F97" t="n">
        <v>-32.89</v>
      </c>
      <c r="G97" t="n">
        <v>1442.79</v>
      </c>
      <c r="H97" t="n">
        <v>0</v>
      </c>
      <c r="I97" t="n">
        <v>0</v>
      </c>
      <c r="J97" t="n">
        <v>0</v>
      </c>
    </row>
    <row r="98" hidden="1">
      <c r="B98" t="inlineStr">
        <is>
          <t>BASE</t>
        </is>
      </c>
      <c r="C98" t="n">
        <v>48</v>
      </c>
      <c r="D98" t="inlineStr">
        <is>
          <t>PL</t>
        </is>
      </c>
      <c r="E98" t="n">
        <v>0.74</v>
      </c>
      <c r="F98" t="n">
        <v>-4.15</v>
      </c>
      <c r="G98" t="n">
        <v>261.14</v>
      </c>
      <c r="H98" t="n">
        <v>0</v>
      </c>
      <c r="I98" t="n">
        <v>0</v>
      </c>
      <c r="J98" t="n">
        <v>0</v>
      </c>
    </row>
    <row r="99" hidden="1">
      <c r="B99" t="inlineStr">
        <is>
          <t>BASE</t>
        </is>
      </c>
      <c r="C99" t="n">
        <v>49</v>
      </c>
      <c r="D99" t="inlineStr">
        <is>
          <t>PD</t>
        </is>
      </c>
      <c r="E99" t="n">
        <v>22.54</v>
      </c>
      <c r="F99" t="n">
        <v>-24.13</v>
      </c>
      <c r="G99" t="n">
        <v>1405.09</v>
      </c>
      <c r="H99" t="n">
        <v>0</v>
      </c>
      <c r="I99" t="n">
        <v>0</v>
      </c>
      <c r="J99" t="n">
        <v>0</v>
      </c>
    </row>
    <row r="100" hidden="1">
      <c r="B100" t="inlineStr">
        <is>
          <t>BASE</t>
        </is>
      </c>
      <c r="C100" t="n">
        <v>49</v>
      </c>
      <c r="D100" t="inlineStr">
        <is>
          <t>PL</t>
        </is>
      </c>
      <c r="E100" t="n">
        <v>11.19</v>
      </c>
      <c r="F100" t="n">
        <v>-16.51</v>
      </c>
      <c r="G100" t="n">
        <v>247.98</v>
      </c>
      <c r="H100" t="n">
        <v>0</v>
      </c>
      <c r="I100" t="n">
        <v>0</v>
      </c>
      <c r="J100" t="n">
        <v>0</v>
      </c>
    </row>
    <row r="101" hidden="1">
      <c r="B101" t="inlineStr">
        <is>
          <t>BASE</t>
        </is>
      </c>
      <c r="C101" t="n">
        <v>50</v>
      </c>
      <c r="D101" t="inlineStr">
        <is>
          <t>PD</t>
        </is>
      </c>
      <c r="E101" t="n">
        <v>-4.17</v>
      </c>
      <c r="F101" t="n">
        <v>-26.62</v>
      </c>
      <c r="G101" t="n">
        <v>1389.69</v>
      </c>
      <c r="H101" t="n">
        <v>0</v>
      </c>
      <c r="I101" t="n">
        <v>0</v>
      </c>
      <c r="J101" t="n">
        <v>0</v>
      </c>
    </row>
    <row r="102" hidden="1">
      <c r="B102" t="inlineStr">
        <is>
          <t>BASE</t>
        </is>
      </c>
      <c r="C102" t="n">
        <v>50</v>
      </c>
      <c r="D102" t="inlineStr">
        <is>
          <t>PL</t>
        </is>
      </c>
      <c r="E102" t="n">
        <v>-2.02</v>
      </c>
      <c r="F102" t="n">
        <v>-19.67</v>
      </c>
      <c r="G102" t="n">
        <v>249.8</v>
      </c>
      <c r="H102" t="n">
        <v>0</v>
      </c>
      <c r="I102" t="n">
        <v>0</v>
      </c>
      <c r="J102" t="n">
        <v>0</v>
      </c>
    </row>
    <row r="103" hidden="1">
      <c r="B103" t="inlineStr">
        <is>
          <t>BASE</t>
        </is>
      </c>
      <c r="C103" t="n">
        <v>51</v>
      </c>
      <c r="D103" t="inlineStr">
        <is>
          <t>PD</t>
        </is>
      </c>
      <c r="E103" t="n">
        <v>1.25</v>
      </c>
      <c r="F103" t="n">
        <v>-33.19</v>
      </c>
      <c r="G103" t="n">
        <v>1371.1</v>
      </c>
      <c r="H103" t="n">
        <v>0</v>
      </c>
      <c r="I103" t="n">
        <v>0</v>
      </c>
      <c r="J103" t="n">
        <v>0</v>
      </c>
    </row>
    <row r="104" hidden="1">
      <c r="B104" t="inlineStr">
        <is>
          <t>BASE</t>
        </is>
      </c>
      <c r="C104" t="n">
        <v>51</v>
      </c>
      <c r="D104" t="inlineStr">
        <is>
          <t>PL</t>
        </is>
      </c>
      <c r="E104" t="n">
        <v>0.68</v>
      </c>
      <c r="F104" t="n">
        <v>-20.35</v>
      </c>
      <c r="G104" t="n">
        <v>246.47</v>
      </c>
      <c r="H104" t="n">
        <v>0</v>
      </c>
      <c r="I104" t="n">
        <v>0</v>
      </c>
      <c r="J104" t="n">
        <v>0</v>
      </c>
    </row>
    <row r="105" hidden="1">
      <c r="B105" t="inlineStr">
        <is>
          <t>BASE</t>
        </is>
      </c>
      <c r="C105" t="n">
        <v>52</v>
      </c>
      <c r="D105" t="inlineStr">
        <is>
          <t>PD</t>
        </is>
      </c>
      <c r="E105" t="n">
        <v>0.11</v>
      </c>
      <c r="F105" t="n">
        <v>-42.27</v>
      </c>
      <c r="G105" t="n">
        <v>1352.36</v>
      </c>
      <c r="H105" t="n">
        <v>0</v>
      </c>
      <c r="I105" t="n">
        <v>0</v>
      </c>
      <c r="J105" t="n">
        <v>0</v>
      </c>
    </row>
    <row r="106" hidden="1">
      <c r="B106" t="inlineStr">
        <is>
          <t>BASE</t>
        </is>
      </c>
      <c r="C106" t="n">
        <v>52</v>
      </c>
      <c r="D106" t="inlineStr">
        <is>
          <t>PL</t>
        </is>
      </c>
      <c r="E106" t="n">
        <v>0.11</v>
      </c>
      <c r="F106" t="n">
        <v>-19.51</v>
      </c>
      <c r="G106" t="n">
        <v>241.55</v>
      </c>
      <c r="H106" t="n">
        <v>0</v>
      </c>
      <c r="I106" t="n">
        <v>0</v>
      </c>
      <c r="J106" t="n">
        <v>0</v>
      </c>
    </row>
    <row r="107" hidden="1">
      <c r="B107" t="inlineStr">
        <is>
          <t>BASE</t>
        </is>
      </c>
      <c r="C107" t="n">
        <v>53</v>
      </c>
      <c r="D107" t="inlineStr">
        <is>
          <t>PD</t>
        </is>
      </c>
      <c r="E107" t="n">
        <v>0.28</v>
      </c>
      <c r="F107" t="n">
        <v>-52.69</v>
      </c>
      <c r="G107" t="n">
        <v>1332.14</v>
      </c>
      <c r="H107" t="n">
        <v>0</v>
      </c>
      <c r="I107" t="n">
        <v>0</v>
      </c>
      <c r="J107" t="n">
        <v>0</v>
      </c>
    </row>
    <row r="108" hidden="1">
      <c r="B108" t="inlineStr">
        <is>
          <t>BASE</t>
        </is>
      </c>
      <c r="C108" t="n">
        <v>53</v>
      </c>
      <c r="D108" t="inlineStr">
        <is>
          <t>PL</t>
        </is>
      </c>
      <c r="E108" t="n">
        <v>0.19</v>
      </c>
      <c r="F108" t="n">
        <v>-17.79</v>
      </c>
      <c r="G108" t="n">
        <v>236.04</v>
      </c>
      <c r="H108" t="n">
        <v>0</v>
      </c>
      <c r="I108" t="n">
        <v>0</v>
      </c>
      <c r="J108" t="n">
        <v>0</v>
      </c>
    </row>
    <row r="109" hidden="1">
      <c r="B109" t="inlineStr">
        <is>
          <t>BASE</t>
        </is>
      </c>
      <c r="C109" t="n">
        <v>54</v>
      </c>
      <c r="D109" t="inlineStr">
        <is>
          <t>PD</t>
        </is>
      </c>
      <c r="E109" t="n">
        <v>0.4</v>
      </c>
      <c r="F109" t="n">
        <v>-63.43</v>
      </c>
      <c r="G109" t="n">
        <v>1310.01</v>
      </c>
      <c r="H109" t="n">
        <v>0</v>
      </c>
      <c r="I109" t="n">
        <v>0</v>
      </c>
      <c r="J109" t="n">
        <v>0</v>
      </c>
    </row>
    <row r="110" hidden="1">
      <c r="B110" t="inlineStr">
        <is>
          <t>BASE</t>
        </is>
      </c>
      <c r="C110" t="n">
        <v>54</v>
      </c>
      <c r="D110" t="inlineStr">
        <is>
          <t>PL</t>
        </is>
      </c>
      <c r="E110" t="n">
        <v>0.25</v>
      </c>
      <c r="F110" t="n">
        <v>-15.62</v>
      </c>
      <c r="G110" t="n">
        <v>230.53</v>
      </c>
      <c r="H110" t="n">
        <v>0</v>
      </c>
      <c r="I110" t="n">
        <v>0</v>
      </c>
      <c r="J110" t="n">
        <v>0</v>
      </c>
    </row>
    <row r="111" hidden="1">
      <c r="B111" t="inlineStr">
        <is>
          <t>BASE</t>
        </is>
      </c>
      <c r="C111" t="n">
        <v>55</v>
      </c>
      <c r="D111" t="inlineStr">
        <is>
          <t>PD</t>
        </is>
      </c>
      <c r="E111" t="n">
        <v>-0.44</v>
      </c>
      <c r="F111" t="n">
        <v>-73.43000000000001</v>
      </c>
      <c r="G111" t="n">
        <v>1286.48</v>
      </c>
      <c r="H111" t="n">
        <v>0</v>
      </c>
      <c r="I111" t="n">
        <v>0</v>
      </c>
      <c r="J111" t="n">
        <v>0</v>
      </c>
    </row>
    <row r="112" hidden="1">
      <c r="B112" t="inlineStr">
        <is>
          <t>BASE</t>
        </is>
      </c>
      <c r="C112" t="n">
        <v>55</v>
      </c>
      <c r="D112" t="inlineStr">
        <is>
          <t>PL</t>
        </is>
      </c>
      <c r="E112" t="n">
        <v>-0.21</v>
      </c>
      <c r="F112" t="n">
        <v>-13.29</v>
      </c>
      <c r="G112" t="n">
        <v>225.34</v>
      </c>
      <c r="H112" t="n">
        <v>0</v>
      </c>
      <c r="I112" t="n">
        <v>0</v>
      </c>
      <c r="J112" t="n">
        <v>0</v>
      </c>
    </row>
    <row r="113" hidden="1">
      <c r="B113" t="inlineStr">
        <is>
          <t>BASE</t>
        </is>
      </c>
      <c r="C113" t="n">
        <v>56</v>
      </c>
      <c r="D113" t="inlineStr">
        <is>
          <t>PD</t>
        </is>
      </c>
      <c r="E113" t="n">
        <v>3.7</v>
      </c>
      <c r="F113" t="n">
        <v>-81.22</v>
      </c>
      <c r="G113" t="n">
        <v>1263.14</v>
      </c>
      <c r="H113" t="n">
        <v>0</v>
      </c>
      <c r="I113" t="n">
        <v>0</v>
      </c>
      <c r="J113" t="n">
        <v>0</v>
      </c>
    </row>
    <row r="114" hidden="1">
      <c r="B114" t="inlineStr">
        <is>
          <t>BASE</t>
        </is>
      </c>
      <c r="C114" t="n">
        <v>56</v>
      </c>
      <c r="D114" t="inlineStr">
        <is>
          <t>PL</t>
        </is>
      </c>
      <c r="E114" t="n">
        <v>2.03</v>
      </c>
      <c r="F114" t="n">
        <v>-11.05</v>
      </c>
      <c r="G114" t="n">
        <v>220.52</v>
      </c>
      <c r="H114" t="n">
        <v>0</v>
      </c>
      <c r="I114" t="n">
        <v>0</v>
      </c>
      <c r="J114" t="n">
        <v>0</v>
      </c>
    </row>
    <row r="115" hidden="1">
      <c r="B115" t="inlineStr">
        <is>
          <t>BASE</t>
        </is>
      </c>
      <c r="C115" t="n">
        <v>57</v>
      </c>
      <c r="D115" t="inlineStr">
        <is>
          <t>PD</t>
        </is>
      </c>
      <c r="E115" t="n">
        <v>-16.38</v>
      </c>
      <c r="F115" t="n">
        <v>-84.67</v>
      </c>
      <c r="G115" t="n">
        <v>1258.8</v>
      </c>
      <c r="H115" t="n">
        <v>0</v>
      </c>
      <c r="I115" t="n">
        <v>0</v>
      </c>
      <c r="J115" t="n">
        <v>0</v>
      </c>
    </row>
    <row r="116" hidden="1">
      <c r="B116" t="inlineStr">
        <is>
          <t>BASE</t>
        </is>
      </c>
      <c r="C116" t="n">
        <v>57</v>
      </c>
      <c r="D116" t="inlineStr">
        <is>
          <t>PL</t>
        </is>
      </c>
      <c r="E116" t="n">
        <v>-8.91</v>
      </c>
      <c r="F116" t="n">
        <v>-9.130000000000001</v>
      </c>
      <c r="G116" t="n">
        <v>217.59</v>
      </c>
      <c r="H116" t="n">
        <v>0</v>
      </c>
      <c r="I116" t="n">
        <v>0</v>
      </c>
      <c r="J116" t="n">
        <v>0</v>
      </c>
    </row>
    <row r="117" hidden="1">
      <c r="B117" t="inlineStr">
        <is>
          <t>BASE</t>
        </is>
      </c>
      <c r="C117" t="n">
        <v>58</v>
      </c>
      <c r="D117" t="inlineStr">
        <is>
          <t>PD</t>
        </is>
      </c>
      <c r="E117" t="n">
        <v>12.52</v>
      </c>
      <c r="F117" t="n">
        <v>77.02</v>
      </c>
      <c r="G117" t="n">
        <v>1285.74</v>
      </c>
      <c r="H117" t="n">
        <v>0</v>
      </c>
      <c r="I117" t="n">
        <v>0</v>
      </c>
      <c r="J117" t="n">
        <v>0</v>
      </c>
    </row>
    <row r="118" hidden="1">
      <c r="B118" t="inlineStr">
        <is>
          <t>BASE</t>
        </is>
      </c>
      <c r="C118" t="n">
        <v>58</v>
      </c>
      <c r="D118" t="inlineStr">
        <is>
          <t>PL</t>
        </is>
      </c>
      <c r="E118" t="n">
        <v>6.55</v>
      </c>
      <c r="F118" t="n">
        <v>6.41</v>
      </c>
      <c r="G118" t="n">
        <v>194.37</v>
      </c>
      <c r="H118" t="n">
        <v>0</v>
      </c>
      <c r="I118" t="n">
        <v>0</v>
      </c>
      <c r="J118" t="n">
        <v>0</v>
      </c>
    </row>
    <row r="119" hidden="1">
      <c r="B119" t="inlineStr">
        <is>
          <t>BASE</t>
        </is>
      </c>
      <c r="C119" t="n">
        <v>59</v>
      </c>
      <c r="D119" t="inlineStr">
        <is>
          <t>PD</t>
        </is>
      </c>
      <c r="E119" t="n">
        <v>-2.88</v>
      </c>
      <c r="F119" t="n">
        <v>72.84</v>
      </c>
      <c r="G119" t="n">
        <v>1289.82</v>
      </c>
      <c r="H119" t="n">
        <v>0</v>
      </c>
      <c r="I119" t="n">
        <v>0</v>
      </c>
      <c r="J119" t="n">
        <v>0</v>
      </c>
    </row>
    <row r="120" hidden="1">
      <c r="B120" t="inlineStr">
        <is>
          <t>BASE</t>
        </is>
      </c>
      <c r="C120" t="n">
        <v>59</v>
      </c>
      <c r="D120" t="inlineStr">
        <is>
          <t>PL</t>
        </is>
      </c>
      <c r="E120" t="n">
        <v>-1.51</v>
      </c>
      <c r="F120" t="n">
        <v>7.99</v>
      </c>
      <c r="G120" t="n">
        <v>197.55</v>
      </c>
      <c r="H120" t="n">
        <v>0</v>
      </c>
      <c r="I120" t="n">
        <v>0</v>
      </c>
      <c r="J120" t="n">
        <v>0</v>
      </c>
    </row>
    <row r="121" hidden="1">
      <c r="B121" t="inlineStr">
        <is>
          <t>BASE</t>
        </is>
      </c>
      <c r="C121" t="n">
        <v>60</v>
      </c>
      <c r="D121" t="inlineStr">
        <is>
          <t>PD</t>
        </is>
      </c>
      <c r="E121" t="n">
        <v>0.29</v>
      </c>
      <c r="F121" t="n">
        <v>65.51000000000001</v>
      </c>
      <c r="G121" t="n">
        <v>1311.01</v>
      </c>
      <c r="H121" t="n">
        <v>0</v>
      </c>
      <c r="I121" t="n">
        <v>0</v>
      </c>
      <c r="J121" t="n">
        <v>0</v>
      </c>
    </row>
    <row r="122" hidden="1">
      <c r="B122" t="inlineStr">
        <is>
          <t>BASE</t>
        </is>
      </c>
      <c r="C122" t="n">
        <v>60</v>
      </c>
      <c r="D122" t="inlineStr">
        <is>
          <t>PL</t>
        </is>
      </c>
      <c r="E122" t="n">
        <v>0.14</v>
      </c>
      <c r="F122" t="n">
        <v>10.02</v>
      </c>
      <c r="G122" t="n">
        <v>201.82</v>
      </c>
      <c r="H122" t="n">
        <v>0</v>
      </c>
      <c r="I122" t="n">
        <v>0</v>
      </c>
      <c r="J122" t="n">
        <v>0</v>
      </c>
    </row>
    <row r="123" hidden="1">
      <c r="B123" t="inlineStr">
        <is>
          <t>BASE</t>
        </is>
      </c>
      <c r="C123" t="n">
        <v>61</v>
      </c>
      <c r="D123" t="inlineStr">
        <is>
          <t>PD</t>
        </is>
      </c>
      <c r="E123" t="n">
        <v>-0.36</v>
      </c>
      <c r="F123" t="n">
        <v>56.69</v>
      </c>
      <c r="G123" t="n">
        <v>1331.88</v>
      </c>
      <c r="H123" t="n">
        <v>0</v>
      </c>
      <c r="I123" t="n">
        <v>0</v>
      </c>
      <c r="J123" t="n">
        <v>0</v>
      </c>
    </row>
    <row r="124" hidden="1">
      <c r="B124" t="inlineStr">
        <is>
          <t>BASE</t>
        </is>
      </c>
      <c r="C124" t="n">
        <v>61</v>
      </c>
      <c r="D124" t="inlineStr">
        <is>
          <t>PL</t>
        </is>
      </c>
      <c r="E124" t="n">
        <v>-0.2</v>
      </c>
      <c r="F124" t="n">
        <v>12.23</v>
      </c>
      <c r="G124" t="n">
        <v>206.41</v>
      </c>
      <c r="H124" t="n">
        <v>0</v>
      </c>
      <c r="I124" t="n">
        <v>0</v>
      </c>
      <c r="J124" t="n">
        <v>0</v>
      </c>
    </row>
    <row r="125" hidden="1">
      <c r="B125" t="inlineStr">
        <is>
          <t>BASE</t>
        </is>
      </c>
      <c r="C125" t="n">
        <v>62</v>
      </c>
      <c r="D125" t="inlineStr">
        <is>
          <t>PD</t>
        </is>
      </c>
      <c r="E125" t="n">
        <v>-0.27</v>
      </c>
      <c r="F125" t="n">
        <v>47.49</v>
      </c>
      <c r="G125" t="n">
        <v>1351.28</v>
      </c>
      <c r="H125" t="n">
        <v>0</v>
      </c>
      <c r="I125" t="n">
        <v>0</v>
      </c>
      <c r="J125" t="n">
        <v>0</v>
      </c>
    </row>
    <row r="126" hidden="1">
      <c r="B126" t="inlineStr">
        <is>
          <t>BASE</t>
        </is>
      </c>
      <c r="C126" t="n">
        <v>62</v>
      </c>
      <c r="D126" t="inlineStr">
        <is>
          <t>PL</t>
        </is>
      </c>
      <c r="E126" t="n">
        <v>-0.16</v>
      </c>
      <c r="F126" t="n">
        <v>14.4</v>
      </c>
      <c r="G126" t="n">
        <v>211.34</v>
      </c>
      <c r="H126" t="n">
        <v>0</v>
      </c>
      <c r="I126" t="n">
        <v>0</v>
      </c>
      <c r="J126" t="n">
        <v>0</v>
      </c>
    </row>
    <row r="127" hidden="1">
      <c r="B127" t="inlineStr">
        <is>
          <t>BASE</t>
        </is>
      </c>
      <c r="C127" t="n">
        <v>63</v>
      </c>
      <c r="D127" t="inlineStr">
        <is>
          <t>PD</t>
        </is>
      </c>
      <c r="E127" t="n">
        <v>-0.14</v>
      </c>
      <c r="F127" t="n">
        <v>38.75</v>
      </c>
      <c r="G127" t="n">
        <v>1368.91</v>
      </c>
      <c r="H127" t="n">
        <v>0</v>
      </c>
      <c r="I127" t="n">
        <v>0</v>
      </c>
      <c r="J127" t="n">
        <v>0</v>
      </c>
    </row>
    <row r="128" hidden="1">
      <c r="B128" t="inlineStr">
        <is>
          <t>BASE</t>
        </is>
      </c>
      <c r="C128" t="n">
        <v>63</v>
      </c>
      <c r="D128" t="inlineStr">
        <is>
          <t>PL</t>
        </is>
      </c>
      <c r="E128" t="n">
        <v>-0.09</v>
      </c>
      <c r="F128" t="n">
        <v>16.26</v>
      </c>
      <c r="G128" t="n">
        <v>216.42</v>
      </c>
      <c r="H128" t="n">
        <v>0</v>
      </c>
      <c r="I128" t="n">
        <v>0</v>
      </c>
      <c r="J128" t="n">
        <v>0</v>
      </c>
    </row>
    <row r="129" hidden="1">
      <c r="B129" t="inlineStr">
        <is>
          <t>BASE</t>
        </is>
      </c>
      <c r="C129" t="n">
        <v>64</v>
      </c>
      <c r="D129" t="inlineStr">
        <is>
          <t>PD</t>
        </is>
      </c>
      <c r="E129" t="n">
        <v>-0.99</v>
      </c>
      <c r="F129" t="n">
        <v>31.25</v>
      </c>
      <c r="G129" t="n">
        <v>1385.19</v>
      </c>
      <c r="H129" t="n">
        <v>0</v>
      </c>
      <c r="I129" t="n">
        <v>0</v>
      </c>
      <c r="J129" t="n">
        <v>0</v>
      </c>
    </row>
    <row r="130" hidden="1">
      <c r="B130" t="inlineStr">
        <is>
          <t>BASE</t>
        </is>
      </c>
      <c r="C130" t="n">
        <v>64</v>
      </c>
      <c r="D130" t="inlineStr">
        <is>
          <t>PL</t>
        </is>
      </c>
      <c r="E130" t="n">
        <v>-0.52</v>
      </c>
      <c r="F130" t="n">
        <v>17.48</v>
      </c>
      <c r="G130" t="n">
        <v>221.22</v>
      </c>
      <c r="H130" t="n">
        <v>0</v>
      </c>
      <c r="I130" t="n">
        <v>0</v>
      </c>
      <c r="J130" t="n">
        <v>0</v>
      </c>
    </row>
    <row r="131" hidden="1">
      <c r="B131" t="inlineStr">
        <is>
          <t>BASE</t>
        </is>
      </c>
      <c r="C131" t="n">
        <v>65</v>
      </c>
      <c r="D131" t="inlineStr">
        <is>
          <t>PD</t>
        </is>
      </c>
      <c r="E131" t="n">
        <v>3.04</v>
      </c>
      <c r="F131" t="n">
        <v>25.93</v>
      </c>
      <c r="G131" t="n">
        <v>1401.3</v>
      </c>
      <c r="H131" t="n">
        <v>0</v>
      </c>
      <c r="I131" t="n">
        <v>0</v>
      </c>
      <c r="J131" t="n">
        <v>0</v>
      </c>
    </row>
    <row r="132" hidden="1">
      <c r="B132" t="inlineStr">
        <is>
          <t>BASE</t>
        </is>
      </c>
      <c r="C132" t="n">
        <v>65</v>
      </c>
      <c r="D132" t="inlineStr">
        <is>
          <t>PL</t>
        </is>
      </c>
      <c r="E132" t="n">
        <v>1.52</v>
      </c>
      <c r="F132" t="n">
        <v>17.55</v>
      </c>
      <c r="G132" t="n">
        <v>224.98</v>
      </c>
      <c r="H132" t="n">
        <v>0</v>
      </c>
      <c r="I132" t="n">
        <v>0</v>
      </c>
      <c r="J132" t="n">
        <v>0</v>
      </c>
    </row>
    <row r="133" hidden="1">
      <c r="B133" t="inlineStr">
        <is>
          <t>BASE</t>
        </is>
      </c>
      <c r="C133" t="n">
        <v>66</v>
      </c>
      <c r="D133" t="inlineStr">
        <is>
          <t>PD</t>
        </is>
      </c>
      <c r="E133" t="n">
        <v>-16.74</v>
      </c>
      <c r="F133" t="n">
        <v>24.05</v>
      </c>
      <c r="G133" t="n">
        <v>1413.6</v>
      </c>
      <c r="H133" t="n">
        <v>0</v>
      </c>
      <c r="I133" t="n">
        <v>0</v>
      </c>
      <c r="J133" t="n">
        <v>0</v>
      </c>
    </row>
    <row r="134" hidden="1">
      <c r="B134" t="inlineStr">
        <is>
          <t>BASE</t>
        </is>
      </c>
      <c r="C134" t="n">
        <v>66</v>
      </c>
      <c r="D134" t="inlineStr">
        <is>
          <t>PL</t>
        </is>
      </c>
      <c r="E134" t="n">
        <v>-8.5</v>
      </c>
      <c r="F134" t="n">
        <v>15.7</v>
      </c>
      <c r="G134" t="n">
        <v>224.44</v>
      </c>
      <c r="H134" t="n">
        <v>0</v>
      </c>
      <c r="I134" t="n">
        <v>0</v>
      </c>
      <c r="J134" t="n">
        <v>0</v>
      </c>
    </row>
    <row r="135" hidden="1">
      <c r="B135" t="inlineStr">
        <is>
          <t>BASE</t>
        </is>
      </c>
      <c r="C135" t="n">
        <v>67</v>
      </c>
      <c r="D135" t="inlineStr">
        <is>
          <t>PD</t>
        </is>
      </c>
      <c r="E135" t="n">
        <v>12.08</v>
      </c>
      <c r="F135" t="n">
        <v>31.19</v>
      </c>
      <c r="G135" t="n">
        <v>1447.34</v>
      </c>
      <c r="H135" t="n">
        <v>0</v>
      </c>
      <c r="I135" t="n">
        <v>0</v>
      </c>
      <c r="J135" t="n">
        <v>0</v>
      </c>
    </row>
    <row r="136" hidden="1">
      <c r="B136" t="inlineStr">
        <is>
          <t>BASE</t>
        </is>
      </c>
      <c r="C136" t="n">
        <v>67</v>
      </c>
      <c r="D136" t="inlineStr">
        <is>
          <t>PL</t>
        </is>
      </c>
      <c r="E136" t="n">
        <v>3.07</v>
      </c>
      <c r="F136" t="n">
        <v>7.16</v>
      </c>
      <c r="G136" t="n">
        <v>238.82</v>
      </c>
      <c r="H136" t="n">
        <v>0</v>
      </c>
      <c r="I136" t="n">
        <v>0</v>
      </c>
      <c r="J136" t="n">
        <v>0</v>
      </c>
    </row>
    <row r="137" hidden="1">
      <c r="B137" t="inlineStr">
        <is>
          <t>BASE</t>
        </is>
      </c>
      <c r="C137" t="n">
        <v>68</v>
      </c>
      <c r="D137" t="inlineStr">
        <is>
          <t>PD</t>
        </is>
      </c>
      <c r="E137" t="n">
        <v>-2.9</v>
      </c>
      <c r="F137" t="n">
        <v>30.61</v>
      </c>
      <c r="G137" t="n">
        <v>1443.8</v>
      </c>
      <c r="H137" t="n">
        <v>0</v>
      </c>
      <c r="I137" t="n">
        <v>0</v>
      </c>
      <c r="J137" t="n">
        <v>0</v>
      </c>
    </row>
    <row r="138" hidden="1">
      <c r="B138" t="inlineStr">
        <is>
          <t>BASE</t>
        </is>
      </c>
      <c r="C138" t="n">
        <v>68</v>
      </c>
      <c r="D138" t="inlineStr">
        <is>
          <t>PL</t>
        </is>
      </c>
      <c r="E138" t="n">
        <v>-0.88</v>
      </c>
      <c r="F138" t="n">
        <v>5.8</v>
      </c>
      <c r="G138" t="n">
        <v>244.11</v>
      </c>
      <c r="H138" t="n">
        <v>0</v>
      </c>
      <c r="I138" t="n">
        <v>0</v>
      </c>
      <c r="J138" t="n">
        <v>0</v>
      </c>
    </row>
    <row r="139" hidden="1">
      <c r="B139" t="inlineStr">
        <is>
          <t>BASE</t>
        </is>
      </c>
      <c r="C139" t="n">
        <v>69</v>
      </c>
      <c r="D139" t="inlineStr">
        <is>
          <t>PD</t>
        </is>
      </c>
      <c r="E139" t="n">
        <v>0.2</v>
      </c>
      <c r="F139" t="n">
        <v>26.44</v>
      </c>
      <c r="G139" t="n">
        <v>1448.32</v>
      </c>
      <c r="H139" t="n">
        <v>0</v>
      </c>
      <c r="I139" t="n">
        <v>0</v>
      </c>
      <c r="J139" t="n">
        <v>0</v>
      </c>
    </row>
    <row r="140" hidden="1">
      <c r="B140" t="inlineStr">
        <is>
          <t>BASE</t>
        </is>
      </c>
      <c r="C140" t="n">
        <v>69</v>
      </c>
      <c r="D140" t="inlineStr">
        <is>
          <t>PL</t>
        </is>
      </c>
      <c r="E140" t="n">
        <v>-0.07000000000000001</v>
      </c>
      <c r="F140" t="n">
        <v>6.22</v>
      </c>
      <c r="G140" t="n">
        <v>249.46</v>
      </c>
      <c r="H140" t="n">
        <v>0</v>
      </c>
      <c r="I140" t="n">
        <v>0</v>
      </c>
      <c r="J140" t="n">
        <v>0</v>
      </c>
    </row>
    <row r="141" hidden="1">
      <c r="B141" t="inlineStr">
        <is>
          <t>BASE</t>
        </is>
      </c>
      <c r="C141" t="n">
        <v>70</v>
      </c>
      <c r="D141" t="inlineStr">
        <is>
          <t>PD</t>
        </is>
      </c>
      <c r="E141" t="n">
        <v>-0.42</v>
      </c>
      <c r="F141" t="n">
        <v>20.17</v>
      </c>
      <c r="G141" t="n">
        <v>1453.56</v>
      </c>
      <c r="H141" t="n">
        <v>0</v>
      </c>
      <c r="I141" t="n">
        <v>0</v>
      </c>
      <c r="J141" t="n">
        <v>0</v>
      </c>
    </row>
    <row r="142" hidden="1">
      <c r="B142" t="inlineStr">
        <is>
          <t>BASE</t>
        </is>
      </c>
      <c r="C142" t="n">
        <v>70</v>
      </c>
      <c r="D142" t="inlineStr">
        <is>
          <t>PL</t>
        </is>
      </c>
      <c r="E142" t="n">
        <v>-0.24</v>
      </c>
      <c r="F142" t="n">
        <v>7.66</v>
      </c>
      <c r="G142" t="n">
        <v>253.75</v>
      </c>
      <c r="H142" t="n">
        <v>0</v>
      </c>
      <c r="I142" t="n">
        <v>0</v>
      </c>
      <c r="J142" t="n">
        <v>0</v>
      </c>
    </row>
    <row r="143" hidden="1">
      <c r="B143" t="inlineStr">
        <is>
          <t>BASE</t>
        </is>
      </c>
      <c r="C143" t="n">
        <v>71</v>
      </c>
      <c r="D143" t="inlineStr">
        <is>
          <t>PD</t>
        </is>
      </c>
      <c r="E143" t="n">
        <v>-0.33</v>
      </c>
      <c r="F143" t="n">
        <v>12.98</v>
      </c>
      <c r="G143" t="n">
        <v>1458.52</v>
      </c>
      <c r="H143" t="n">
        <v>0</v>
      </c>
      <c r="I143" t="n">
        <v>0</v>
      </c>
      <c r="J143" t="n">
        <v>0</v>
      </c>
    </row>
    <row r="144" hidden="1">
      <c r="B144" t="inlineStr">
        <is>
          <t>BASE</t>
        </is>
      </c>
      <c r="C144" t="n">
        <v>71</v>
      </c>
      <c r="D144" t="inlineStr">
        <is>
          <t>PL</t>
        </is>
      </c>
      <c r="E144" t="n">
        <v>-0.22</v>
      </c>
      <c r="F144" t="n">
        <v>9.51</v>
      </c>
      <c r="G144" t="n">
        <v>257.57</v>
      </c>
      <c r="H144" t="n">
        <v>0</v>
      </c>
      <c r="I144" t="n">
        <v>0</v>
      </c>
      <c r="J144" t="n">
        <v>0</v>
      </c>
    </row>
    <row r="145" hidden="1">
      <c r="B145" t="inlineStr">
        <is>
          <t>BASE</t>
        </is>
      </c>
      <c r="C145" t="n">
        <v>72</v>
      </c>
      <c r="D145" t="inlineStr">
        <is>
          <t>PD</t>
        </is>
      </c>
      <c r="E145" t="n">
        <v>-0.18</v>
      </c>
      <c r="F145" t="n">
        <v>5.92</v>
      </c>
      <c r="G145" t="n">
        <v>1463.02</v>
      </c>
      <c r="H145" t="n">
        <v>0</v>
      </c>
      <c r="I145" t="n">
        <v>0</v>
      </c>
      <c r="J145" t="n">
        <v>0</v>
      </c>
    </row>
    <row r="146" hidden="1">
      <c r="B146" t="inlineStr">
        <is>
          <t>BASE</t>
        </is>
      </c>
      <c r="C146" t="n">
        <v>72</v>
      </c>
      <c r="D146" t="inlineStr">
        <is>
          <t>PL</t>
        </is>
      </c>
      <c r="E146" t="n">
        <v>-0.18</v>
      </c>
      <c r="F146" t="n">
        <v>11.28</v>
      </c>
      <c r="G146" t="n">
        <v>261.03</v>
      </c>
      <c r="H146" t="n">
        <v>0</v>
      </c>
      <c r="I146" t="n">
        <v>0</v>
      </c>
      <c r="J146" t="n">
        <v>0</v>
      </c>
    </row>
    <row r="147" hidden="1">
      <c r="B147" t="inlineStr">
        <is>
          <t>BASE</t>
        </is>
      </c>
      <c r="C147" t="n">
        <v>73</v>
      </c>
      <c r="D147" t="inlineStr">
        <is>
          <t>PD</t>
        </is>
      </c>
      <c r="E147" t="n">
        <v>-1.12</v>
      </c>
      <c r="F147" t="n">
        <v>0.14</v>
      </c>
      <c r="G147" t="n">
        <v>1467.75</v>
      </c>
      <c r="H147" t="n">
        <v>0</v>
      </c>
      <c r="I147" t="n">
        <v>0</v>
      </c>
      <c r="J147" t="n">
        <v>0</v>
      </c>
    </row>
    <row r="148" hidden="1">
      <c r="B148" t="inlineStr">
        <is>
          <t>BASE</t>
        </is>
      </c>
      <c r="C148" t="n">
        <v>73</v>
      </c>
      <c r="D148" t="inlineStr">
        <is>
          <t>PL</t>
        </is>
      </c>
      <c r="E148" t="n">
        <v>-0.47</v>
      </c>
      <c r="F148" t="n">
        <v>12.44</v>
      </c>
      <c r="G148" t="n">
        <v>263.85</v>
      </c>
      <c r="H148" t="n">
        <v>0</v>
      </c>
      <c r="I148" t="n">
        <v>0</v>
      </c>
      <c r="J148" t="n">
        <v>0</v>
      </c>
    </row>
    <row r="149" hidden="1">
      <c r="B149" t="inlineStr">
        <is>
          <t>BASE</t>
        </is>
      </c>
      <c r="C149" t="n">
        <v>74</v>
      </c>
      <c r="D149" t="inlineStr">
        <is>
          <t>PD</t>
        </is>
      </c>
      <c r="E149" t="n">
        <v>3.32</v>
      </c>
      <c r="F149" t="n">
        <v>-2.89</v>
      </c>
      <c r="G149" t="n">
        <v>1474.36</v>
      </c>
      <c r="H149" t="n">
        <v>0</v>
      </c>
      <c r="I149" t="n">
        <v>0</v>
      </c>
      <c r="J149" t="n">
        <v>0</v>
      </c>
    </row>
    <row r="150" hidden="1">
      <c r="B150" t="inlineStr">
        <is>
          <t>BASE</t>
        </is>
      </c>
      <c r="C150" t="n">
        <v>74</v>
      </c>
      <c r="D150" t="inlineStr">
        <is>
          <t>PL</t>
        </is>
      </c>
      <c r="E150" t="n">
        <v>0.89</v>
      </c>
      <c r="F150" t="n">
        <v>12.33</v>
      </c>
      <c r="G150" t="n">
        <v>265.24</v>
      </c>
      <c r="H150" t="n">
        <v>0</v>
      </c>
      <c r="I150" t="n">
        <v>0</v>
      </c>
      <c r="J150" t="n">
        <v>0</v>
      </c>
    </row>
    <row r="151" hidden="1">
      <c r="B151" t="inlineStr">
        <is>
          <t>BASE</t>
        </is>
      </c>
      <c r="C151" t="n">
        <v>75</v>
      </c>
      <c r="D151" t="inlineStr">
        <is>
          <t>PD</t>
        </is>
      </c>
      <c r="E151" t="n">
        <v>-18.5</v>
      </c>
      <c r="F151" t="n">
        <v>-1.2</v>
      </c>
      <c r="G151" t="n">
        <v>1483.8</v>
      </c>
      <c r="H151" t="n">
        <v>0</v>
      </c>
      <c r="I151" t="n">
        <v>0</v>
      </c>
      <c r="J151" t="n">
        <v>0</v>
      </c>
    </row>
    <row r="152" hidden="1">
      <c r="B152" t="inlineStr">
        <is>
          <t>BASE</t>
        </is>
      </c>
      <c r="C152" t="n">
        <v>75</v>
      </c>
      <c r="D152" t="inlineStr">
        <is>
          <t>PL</t>
        </is>
      </c>
      <c r="E152" t="n">
        <v>-5.8</v>
      </c>
      <c r="F152" t="n">
        <v>10.01</v>
      </c>
      <c r="G152" t="n">
        <v>263.13</v>
      </c>
      <c r="H152" t="n">
        <v>0</v>
      </c>
      <c r="I152" t="n">
        <v>0</v>
      </c>
      <c r="J152" t="n">
        <v>0</v>
      </c>
    </row>
    <row r="153" hidden="1">
      <c r="B153" t="inlineStr">
        <is>
          <t>BASE</t>
        </is>
      </c>
      <c r="C153" t="n">
        <v>76</v>
      </c>
      <c r="D153" t="inlineStr">
        <is>
          <t>PD</t>
        </is>
      </c>
      <c r="E153" t="n">
        <v>-3.02</v>
      </c>
      <c r="F153" t="n">
        <v>16.03</v>
      </c>
      <c r="G153" t="n">
        <v>1492.58</v>
      </c>
      <c r="H153" t="n">
        <v>0</v>
      </c>
      <c r="I153" t="n">
        <v>0</v>
      </c>
      <c r="J153" t="n">
        <v>0</v>
      </c>
    </row>
    <row r="154" hidden="1">
      <c r="B154" t="inlineStr">
        <is>
          <t>BASE</t>
        </is>
      </c>
      <c r="C154" t="n">
        <v>76</v>
      </c>
      <c r="D154" t="inlineStr">
        <is>
          <t>PL</t>
        </is>
      </c>
      <c r="E154" t="n">
        <v>-1.31</v>
      </c>
      <c r="F154" t="n">
        <v>-0.58</v>
      </c>
      <c r="G154" t="n">
        <v>269.44</v>
      </c>
      <c r="H154" t="n">
        <v>0</v>
      </c>
      <c r="I154" t="n">
        <v>0</v>
      </c>
      <c r="J154" t="n">
        <v>0</v>
      </c>
    </row>
    <row r="155" hidden="1">
      <c r="B155" t="inlineStr">
        <is>
          <t>BASE</t>
        </is>
      </c>
      <c r="C155" t="n">
        <v>77</v>
      </c>
      <c r="D155" t="inlineStr">
        <is>
          <t>PD</t>
        </is>
      </c>
      <c r="E155" t="n">
        <v>0.13</v>
      </c>
      <c r="F155" t="n">
        <v>18.01</v>
      </c>
      <c r="G155" t="n">
        <v>1483.89</v>
      </c>
      <c r="H155" t="n">
        <v>0</v>
      </c>
      <c r="I155" t="n">
        <v>0</v>
      </c>
      <c r="J155" t="n">
        <v>0</v>
      </c>
    </row>
    <row r="156" hidden="1">
      <c r="B156" t="inlineStr">
        <is>
          <t>BASE</t>
        </is>
      </c>
      <c r="C156" t="n">
        <v>77</v>
      </c>
      <c r="D156" t="inlineStr">
        <is>
          <t>PL</t>
        </is>
      </c>
      <c r="E156" t="n">
        <v>-0.05</v>
      </c>
      <c r="F156" t="n">
        <v>-2.59</v>
      </c>
      <c r="G156" t="n">
        <v>273.85</v>
      </c>
      <c r="H156" t="n">
        <v>0</v>
      </c>
      <c r="I156" t="n">
        <v>0</v>
      </c>
      <c r="J156" t="n">
        <v>0</v>
      </c>
    </row>
    <row r="157" hidden="1">
      <c r="B157" t="inlineStr">
        <is>
          <t>BASE</t>
        </is>
      </c>
      <c r="C157" t="n">
        <v>78</v>
      </c>
      <c r="D157" t="inlineStr">
        <is>
          <t>PD</t>
        </is>
      </c>
      <c r="E157" t="n">
        <v>-0.47</v>
      </c>
      <c r="F157" t="n">
        <v>14.95</v>
      </c>
      <c r="G157" t="n">
        <v>1481.5</v>
      </c>
      <c r="H157" t="n">
        <v>0</v>
      </c>
      <c r="I157" t="n">
        <v>0</v>
      </c>
      <c r="J157" t="n">
        <v>0</v>
      </c>
    </row>
    <row r="158" hidden="1">
      <c r="B158" t="inlineStr">
        <is>
          <t>BASE</t>
        </is>
      </c>
      <c r="C158" t="n">
        <v>78</v>
      </c>
      <c r="D158" t="inlineStr">
        <is>
          <t>PL</t>
        </is>
      </c>
      <c r="E158" t="n">
        <v>-0.3</v>
      </c>
      <c r="F158" t="n">
        <v>-2.47</v>
      </c>
      <c r="G158" t="n">
        <v>276.51</v>
      </c>
      <c r="H158" t="n">
        <v>0</v>
      </c>
      <c r="I158" t="n">
        <v>0</v>
      </c>
      <c r="J158" t="n">
        <v>0</v>
      </c>
    </row>
    <row r="159" hidden="1">
      <c r="B159" t="inlineStr">
        <is>
          <t>BASE</t>
        </is>
      </c>
      <c r="C159" t="n">
        <v>79</v>
      </c>
      <c r="D159" t="inlineStr">
        <is>
          <t>PD</t>
        </is>
      </c>
      <c r="E159" t="n">
        <v>-0.32</v>
      </c>
      <c r="F159" t="n">
        <v>8.949999999999999</v>
      </c>
      <c r="G159" t="n">
        <v>1481.16</v>
      </c>
      <c r="H159" t="n">
        <v>0</v>
      </c>
      <c r="I159" t="n">
        <v>0</v>
      </c>
      <c r="J159" t="n">
        <v>0</v>
      </c>
    </row>
    <row r="160" hidden="1">
      <c r="B160" t="inlineStr">
        <is>
          <t>BASE</t>
        </is>
      </c>
      <c r="C160" t="n">
        <v>79</v>
      </c>
      <c r="D160" t="inlineStr">
        <is>
          <t>PL</t>
        </is>
      </c>
      <c r="E160" t="n">
        <v>-0.24</v>
      </c>
      <c r="F160" t="n">
        <v>-1.13</v>
      </c>
      <c r="G160" t="n">
        <v>277.87</v>
      </c>
      <c r="H160" t="n">
        <v>0</v>
      </c>
      <c r="I160" t="n">
        <v>0</v>
      </c>
      <c r="J160" t="n">
        <v>0</v>
      </c>
    </row>
    <row r="161" hidden="1">
      <c r="B161" t="inlineStr">
        <is>
          <t>BASE</t>
        </is>
      </c>
      <c r="C161" t="n">
        <v>80</v>
      </c>
      <c r="D161" t="inlineStr">
        <is>
          <t>PD</t>
        </is>
      </c>
      <c r="E161" t="n">
        <v>-0.35</v>
      </c>
      <c r="F161" t="n">
        <v>1.6</v>
      </c>
      <c r="G161" t="n">
        <v>1481.28</v>
      </c>
      <c r="H161" t="n">
        <v>0</v>
      </c>
      <c r="I161" t="n">
        <v>0</v>
      </c>
      <c r="J161" t="n">
        <v>0</v>
      </c>
    </row>
    <row r="162" hidden="1">
      <c r="B162" t="inlineStr">
        <is>
          <t>BASE</t>
        </is>
      </c>
      <c r="C162" t="n">
        <v>80</v>
      </c>
      <c r="D162" t="inlineStr">
        <is>
          <t>PL</t>
        </is>
      </c>
      <c r="E162" t="n">
        <v>-0.26</v>
      </c>
      <c r="F162" t="n">
        <v>0.79</v>
      </c>
      <c r="G162" t="n">
        <v>278.65</v>
      </c>
      <c r="H162" t="n">
        <v>0</v>
      </c>
      <c r="I162" t="n">
        <v>0</v>
      </c>
      <c r="J162" t="n">
        <v>0</v>
      </c>
    </row>
    <row r="163" hidden="1">
      <c r="B163" t="inlineStr">
        <is>
          <t>BASE</t>
        </is>
      </c>
      <c r="C163" t="n">
        <v>81</v>
      </c>
      <c r="D163" t="inlineStr">
        <is>
          <t>PD</t>
        </is>
      </c>
      <c r="E163" t="n">
        <v>-0.31</v>
      </c>
      <c r="F163" t="n">
        <v>-5.77</v>
      </c>
      <c r="G163" t="n">
        <v>1481.32</v>
      </c>
      <c r="H163" t="n">
        <v>0</v>
      </c>
      <c r="I163" t="n">
        <v>0</v>
      </c>
      <c r="J163" t="n">
        <v>0</v>
      </c>
    </row>
    <row r="164" hidden="1">
      <c r="B164" t="inlineStr">
        <is>
          <t>BASE</t>
        </is>
      </c>
      <c r="C164" t="n">
        <v>81</v>
      </c>
      <c r="D164" t="inlineStr">
        <is>
          <t>PL</t>
        </is>
      </c>
      <c r="E164" t="n">
        <v>-0.24</v>
      </c>
      <c r="F164" t="n">
        <v>2.75</v>
      </c>
      <c r="G164" t="n">
        <v>279.09</v>
      </c>
      <c r="H164" t="n">
        <v>0</v>
      </c>
      <c r="I164" t="n">
        <v>0</v>
      </c>
      <c r="J164" t="n">
        <v>0</v>
      </c>
    </row>
    <row r="165" hidden="1">
      <c r="B165" t="inlineStr">
        <is>
          <t>BASE</t>
        </is>
      </c>
      <c r="C165" t="n">
        <v>82</v>
      </c>
      <c r="D165" t="inlineStr">
        <is>
          <t>PD</t>
        </is>
      </c>
      <c r="E165" t="n">
        <v>-0.54</v>
      </c>
      <c r="F165" t="n">
        <v>-11.83</v>
      </c>
      <c r="G165" t="n">
        <v>1481.79</v>
      </c>
      <c r="H165" t="n">
        <v>0</v>
      </c>
      <c r="I165" t="n">
        <v>0</v>
      </c>
      <c r="J165" t="n">
        <v>0</v>
      </c>
    </row>
    <row r="166" hidden="1">
      <c r="B166" t="inlineStr">
        <is>
          <t>BASE</t>
        </is>
      </c>
      <c r="C166" t="n">
        <v>82</v>
      </c>
      <c r="D166" t="inlineStr">
        <is>
          <t>PL</t>
        </is>
      </c>
      <c r="E166" t="n">
        <v>-0.32</v>
      </c>
      <c r="F166" t="n">
        <v>4.22</v>
      </c>
      <c r="G166" t="n">
        <v>279.03</v>
      </c>
      <c r="H166" t="n">
        <v>0</v>
      </c>
      <c r="I166" t="n">
        <v>0</v>
      </c>
      <c r="J166" t="n">
        <v>0</v>
      </c>
    </row>
    <row r="167" hidden="1">
      <c r="B167" t="inlineStr">
        <is>
          <t>BASE</t>
        </is>
      </c>
      <c r="C167" t="n">
        <v>83</v>
      </c>
      <c r="D167" t="inlineStr">
        <is>
          <t>PD</t>
        </is>
      </c>
      <c r="E167" t="n">
        <v>0.45</v>
      </c>
      <c r="F167" t="n">
        <v>-14.98</v>
      </c>
      <c r="G167" t="n">
        <v>1484.28</v>
      </c>
      <c r="H167" t="n">
        <v>0</v>
      </c>
      <c r="I167" t="n">
        <v>0</v>
      </c>
      <c r="J167" t="n">
        <v>0</v>
      </c>
    </row>
    <row r="168" hidden="1">
      <c r="B168" t="inlineStr">
        <is>
          <t>BASE</t>
        </is>
      </c>
      <c r="C168" t="n">
        <v>83</v>
      </c>
      <c r="D168" t="inlineStr">
        <is>
          <t>PL</t>
        </is>
      </c>
      <c r="E168" t="n">
        <v>0.03</v>
      </c>
      <c r="F168" t="n">
        <v>4.6</v>
      </c>
      <c r="G168" t="n">
        <v>277.82</v>
      </c>
      <c r="H168" t="n">
        <v>0</v>
      </c>
      <c r="I168" t="n">
        <v>0</v>
      </c>
      <c r="J168" t="n">
        <v>0</v>
      </c>
    </row>
    <row r="169" hidden="1">
      <c r="B169" t="inlineStr">
        <is>
          <t>BASE</t>
        </is>
      </c>
      <c r="C169" t="n">
        <v>84</v>
      </c>
      <c r="D169" t="inlineStr">
        <is>
          <t>PD</t>
        </is>
      </c>
      <c r="E169" t="n">
        <v>-4.63</v>
      </c>
      <c r="F169" t="n">
        <v>-13.14</v>
      </c>
      <c r="G169" t="n">
        <v>1492.09</v>
      </c>
      <c r="H169" t="n">
        <v>0</v>
      </c>
      <c r="I169" t="n">
        <v>0</v>
      </c>
      <c r="J169" t="n">
        <v>0</v>
      </c>
    </row>
    <row r="170" hidden="1">
      <c r="B170" t="inlineStr">
        <is>
          <t>BASE</t>
        </is>
      </c>
      <c r="C170" t="n">
        <v>84</v>
      </c>
      <c r="D170" t="inlineStr">
        <is>
          <t>PL</t>
        </is>
      </c>
      <c r="E170" t="n">
        <v>-1.7</v>
      </c>
      <c r="F170" t="n">
        <v>3.01</v>
      </c>
      <c r="G170" t="n">
        <v>274.68</v>
      </c>
      <c r="H170" t="n">
        <v>0</v>
      </c>
      <c r="I170" t="n">
        <v>0</v>
      </c>
      <c r="J170" t="n">
        <v>0</v>
      </c>
    </row>
    <row r="171" hidden="1">
      <c r="B171" t="inlineStr">
        <is>
          <t>BASE</t>
        </is>
      </c>
      <c r="C171" t="n">
        <v>85</v>
      </c>
      <c r="D171" t="inlineStr">
        <is>
          <t>PD</t>
        </is>
      </c>
      <c r="E171" t="n">
        <v>-5.11</v>
      </c>
      <c r="F171" t="n">
        <v>4</v>
      </c>
      <c r="G171" t="n">
        <v>1485.56</v>
      </c>
      <c r="H171" t="n">
        <v>0</v>
      </c>
      <c r="I171" t="n">
        <v>0</v>
      </c>
      <c r="J171" t="n">
        <v>0</v>
      </c>
    </row>
    <row r="172" hidden="1">
      <c r="B172" t="inlineStr">
        <is>
          <t>BASE</t>
        </is>
      </c>
      <c r="C172" t="n">
        <v>85</v>
      </c>
      <c r="D172" t="inlineStr">
        <is>
          <t>PL</t>
        </is>
      </c>
      <c r="E172" t="n">
        <v>-2.24</v>
      </c>
      <c r="F172" t="n">
        <v>-6.1</v>
      </c>
      <c r="G172" t="n">
        <v>272.85</v>
      </c>
      <c r="H172" t="n">
        <v>0</v>
      </c>
      <c r="I172" t="n">
        <v>0</v>
      </c>
      <c r="J172" t="n">
        <v>0</v>
      </c>
    </row>
    <row r="173" hidden="1">
      <c r="B173" t="inlineStr">
        <is>
          <t>BASE</t>
        </is>
      </c>
      <c r="C173" t="n">
        <v>86</v>
      </c>
      <c r="D173" t="inlineStr">
        <is>
          <t>PD</t>
        </is>
      </c>
      <c r="E173" t="n">
        <v>0.55</v>
      </c>
      <c r="F173" t="n">
        <v>5.46</v>
      </c>
      <c r="G173" t="n">
        <v>1474.55</v>
      </c>
      <c r="H173" t="n">
        <v>0</v>
      </c>
      <c r="I173" t="n">
        <v>0</v>
      </c>
      <c r="J173" t="n">
        <v>0</v>
      </c>
    </row>
    <row r="174" hidden="1">
      <c r="B174" t="inlineStr">
        <is>
          <t>BASE</t>
        </is>
      </c>
      <c r="C174" t="n">
        <v>86</v>
      </c>
      <c r="D174" t="inlineStr">
        <is>
          <t>PL</t>
        </is>
      </c>
      <c r="E174" t="n">
        <v>0.14</v>
      </c>
      <c r="F174" t="n">
        <v>-7.84</v>
      </c>
      <c r="G174" t="n">
        <v>276.06</v>
      </c>
      <c r="H174" t="n">
        <v>0</v>
      </c>
      <c r="I174" t="n">
        <v>0</v>
      </c>
      <c r="J174" t="n">
        <v>0</v>
      </c>
    </row>
    <row r="175" hidden="1">
      <c r="B175" t="inlineStr">
        <is>
          <t>BASE</t>
        </is>
      </c>
      <c r="C175" t="n">
        <v>87</v>
      </c>
      <c r="D175" t="inlineStr">
        <is>
          <t>PD</t>
        </is>
      </c>
      <c r="E175" t="n">
        <v>-0.5600000000000001</v>
      </c>
      <c r="F175" t="n">
        <v>1.9</v>
      </c>
      <c r="G175" t="n">
        <v>1467.28</v>
      </c>
      <c r="H175" t="n">
        <v>0</v>
      </c>
      <c r="I175" t="n">
        <v>0</v>
      </c>
      <c r="J175" t="n">
        <v>0</v>
      </c>
    </row>
    <row r="176" hidden="1">
      <c r="B176" t="inlineStr">
        <is>
          <t>BASE</t>
        </is>
      </c>
      <c r="C176" t="n">
        <v>87</v>
      </c>
      <c r="D176" t="inlineStr">
        <is>
          <t>PL</t>
        </is>
      </c>
      <c r="E176" t="n">
        <v>-0.34</v>
      </c>
      <c r="F176" t="n">
        <v>-7.6</v>
      </c>
      <c r="G176" t="n">
        <v>276.49</v>
      </c>
      <c r="H176" t="n">
        <v>0</v>
      </c>
      <c r="I176" t="n">
        <v>0</v>
      </c>
      <c r="J176" t="n">
        <v>0</v>
      </c>
    </row>
    <row r="177" hidden="1">
      <c r="B177" t="inlineStr">
        <is>
          <t>BASE</t>
        </is>
      </c>
      <c r="C177" t="n">
        <v>88</v>
      </c>
      <c r="D177" t="inlineStr">
        <is>
          <t>PD</t>
        </is>
      </c>
      <c r="E177" t="n">
        <v>-0.3</v>
      </c>
      <c r="F177" t="n">
        <v>-4.64</v>
      </c>
      <c r="G177" t="n">
        <v>1461.76</v>
      </c>
      <c r="H177" t="n">
        <v>0</v>
      </c>
      <c r="I177" t="n">
        <v>0</v>
      </c>
      <c r="J177" t="n">
        <v>0</v>
      </c>
    </row>
    <row r="178" hidden="1">
      <c r="B178" t="inlineStr">
        <is>
          <t>BASE</t>
        </is>
      </c>
      <c r="C178" t="n">
        <v>88</v>
      </c>
      <c r="D178" t="inlineStr">
        <is>
          <t>PL</t>
        </is>
      </c>
      <c r="E178" t="n">
        <v>-0.23</v>
      </c>
      <c r="F178" t="n">
        <v>-6.24</v>
      </c>
      <c r="G178" t="n">
        <v>275.68</v>
      </c>
      <c r="H178" t="n">
        <v>0</v>
      </c>
      <c r="I178" t="n">
        <v>0</v>
      </c>
      <c r="J178" t="n">
        <v>0</v>
      </c>
    </row>
    <row r="179" hidden="1">
      <c r="B179" t="inlineStr">
        <is>
          <t>BASE</t>
        </is>
      </c>
      <c r="C179" t="n">
        <v>89</v>
      </c>
      <c r="D179" t="inlineStr">
        <is>
          <t>PD</t>
        </is>
      </c>
      <c r="E179" t="n">
        <v>-0.35</v>
      </c>
      <c r="F179" t="n">
        <v>-12.63</v>
      </c>
      <c r="G179" t="n">
        <v>1456.33</v>
      </c>
      <c r="H179" t="n">
        <v>0</v>
      </c>
      <c r="I179" t="n">
        <v>0</v>
      </c>
      <c r="J179" t="n">
        <v>0</v>
      </c>
    </row>
    <row r="180" hidden="1">
      <c r="B180" t="inlineStr">
        <is>
          <t>BASE</t>
        </is>
      </c>
      <c r="C180" t="n">
        <v>89</v>
      </c>
      <c r="D180" t="inlineStr">
        <is>
          <t>PL</t>
        </is>
      </c>
      <c r="E180" t="n">
        <v>-0.25</v>
      </c>
      <c r="F180" t="n">
        <v>-4.41</v>
      </c>
      <c r="G180" t="n">
        <v>274.28</v>
      </c>
      <c r="H180" t="n">
        <v>0</v>
      </c>
      <c r="I180" t="n">
        <v>0</v>
      </c>
      <c r="J180" t="n">
        <v>0</v>
      </c>
    </row>
    <row r="181" hidden="1">
      <c r="B181" t="inlineStr">
        <is>
          <t>BASE</t>
        </is>
      </c>
      <c r="C181" t="n">
        <v>90</v>
      </c>
      <c r="D181" t="inlineStr">
        <is>
          <t>PD</t>
        </is>
      </c>
      <c r="E181" t="n">
        <v>-0.32</v>
      </c>
      <c r="F181" t="n">
        <v>-20.81</v>
      </c>
      <c r="G181" t="n">
        <v>1450.38</v>
      </c>
      <c r="H181" t="n">
        <v>0</v>
      </c>
      <c r="I181" t="n">
        <v>0</v>
      </c>
      <c r="J181" t="n">
        <v>0</v>
      </c>
    </row>
    <row r="182" hidden="1">
      <c r="B182" t="inlineStr">
        <is>
          <t>BASE</t>
        </is>
      </c>
      <c r="C182" t="n">
        <v>90</v>
      </c>
      <c r="D182" t="inlineStr">
        <is>
          <t>PL</t>
        </is>
      </c>
      <c r="E182" t="n">
        <v>-0.24</v>
      </c>
      <c r="F182" t="n">
        <v>-2.66</v>
      </c>
      <c r="G182" t="n">
        <v>272.45</v>
      </c>
      <c r="H182" t="n">
        <v>0</v>
      </c>
      <c r="I182" t="n">
        <v>0</v>
      </c>
      <c r="J182" t="n">
        <v>0</v>
      </c>
    </row>
    <row r="183" hidden="1">
      <c r="B183" t="inlineStr">
        <is>
          <t>BASE</t>
        </is>
      </c>
      <c r="C183" t="n">
        <v>91</v>
      </c>
      <c r="D183" t="inlineStr">
        <is>
          <t>PD</t>
        </is>
      </c>
      <c r="E183" t="n">
        <v>-0.45</v>
      </c>
      <c r="F183" t="n">
        <v>-27.94</v>
      </c>
      <c r="G183" t="n">
        <v>1444.25</v>
      </c>
      <c r="H183" t="n">
        <v>0</v>
      </c>
      <c r="I183" t="n">
        <v>0</v>
      </c>
      <c r="J183" t="n">
        <v>0</v>
      </c>
    </row>
    <row r="184" hidden="1">
      <c r="B184" t="inlineStr">
        <is>
          <t>BASE</t>
        </is>
      </c>
      <c r="C184" t="n">
        <v>91</v>
      </c>
      <c r="D184" t="inlineStr">
        <is>
          <t>PL</t>
        </is>
      </c>
      <c r="E184" t="n">
        <v>-0.27</v>
      </c>
      <c r="F184" t="n">
        <v>-1.54</v>
      </c>
      <c r="G184" t="n">
        <v>269.92</v>
      </c>
      <c r="H184" t="n">
        <v>0</v>
      </c>
      <c r="I184" t="n">
        <v>0</v>
      </c>
      <c r="J184" t="n">
        <v>0</v>
      </c>
    </row>
    <row r="185" hidden="1">
      <c r="B185" t="inlineStr">
        <is>
          <t>BASE</t>
        </is>
      </c>
      <c r="C185" t="n">
        <v>92</v>
      </c>
      <c r="D185" t="inlineStr">
        <is>
          <t>PD</t>
        </is>
      </c>
      <c r="E185" t="n">
        <v>0.03</v>
      </c>
      <c r="F185" t="n">
        <v>-32.59</v>
      </c>
      <c r="G185" t="n">
        <v>1439.25</v>
      </c>
      <c r="H185" t="n">
        <v>0</v>
      </c>
      <c r="I185" t="n">
        <v>0</v>
      </c>
      <c r="J185" t="n">
        <v>0</v>
      </c>
    </row>
    <row r="186" hidden="1">
      <c r="B186" t="inlineStr">
        <is>
          <t>BASE</t>
        </is>
      </c>
      <c r="C186" t="n">
        <v>92</v>
      </c>
      <c r="D186" t="inlineStr">
        <is>
          <t>PL</t>
        </is>
      </c>
      <c r="E186" t="n">
        <v>-0.16</v>
      </c>
      <c r="F186" t="n">
        <v>-1.72</v>
      </c>
      <c r="G186" t="n">
        <v>265.91</v>
      </c>
      <c r="H186" t="n">
        <v>0</v>
      </c>
      <c r="I186" t="n">
        <v>0</v>
      </c>
      <c r="J186" t="n">
        <v>0</v>
      </c>
    </row>
    <row r="187" hidden="1">
      <c r="B187" t="inlineStr">
        <is>
          <t>BASE</t>
        </is>
      </c>
      <c r="C187" t="n">
        <v>93</v>
      </c>
      <c r="D187" t="inlineStr">
        <is>
          <t>PD</t>
        </is>
      </c>
      <c r="E187" t="n">
        <v>-2.51</v>
      </c>
      <c r="F187" t="n">
        <v>-32.89</v>
      </c>
      <c r="G187" t="n">
        <v>1442.79</v>
      </c>
      <c r="H187" t="n">
        <v>0</v>
      </c>
      <c r="I187" t="n">
        <v>0</v>
      </c>
      <c r="J187" t="n">
        <v>0</v>
      </c>
    </row>
    <row r="188" hidden="1">
      <c r="B188" t="inlineStr">
        <is>
          <t>BASE</t>
        </is>
      </c>
      <c r="C188" t="n">
        <v>93</v>
      </c>
      <c r="D188" t="inlineStr">
        <is>
          <t>PL</t>
        </is>
      </c>
      <c r="E188" t="n">
        <v>-0.74</v>
      </c>
      <c r="F188" t="n">
        <v>-4.15</v>
      </c>
      <c r="G188" t="n">
        <v>261.14</v>
      </c>
      <c r="H188" t="n">
        <v>0</v>
      </c>
      <c r="I188" t="n">
        <v>0</v>
      </c>
      <c r="J188" t="n">
        <v>0</v>
      </c>
    </row>
    <row r="189" hidden="1">
      <c r="B189" t="inlineStr">
        <is>
          <t>BASE</t>
        </is>
      </c>
      <c r="C189" t="n">
        <v>94</v>
      </c>
      <c r="D189" t="inlineStr">
        <is>
          <t>PD</t>
        </is>
      </c>
      <c r="E189" t="n">
        <v>-22.54</v>
      </c>
      <c r="F189" t="n">
        <v>-24.13</v>
      </c>
      <c r="G189" t="n">
        <v>1405.09</v>
      </c>
      <c r="H189" t="n">
        <v>0</v>
      </c>
      <c r="I189" t="n">
        <v>0</v>
      </c>
      <c r="J189" t="n">
        <v>0</v>
      </c>
    </row>
    <row r="190" hidden="1">
      <c r="B190" t="inlineStr">
        <is>
          <t>BASE</t>
        </is>
      </c>
      <c r="C190" t="n">
        <v>94</v>
      </c>
      <c r="D190" t="inlineStr">
        <is>
          <t>PL</t>
        </is>
      </c>
      <c r="E190" t="n">
        <v>-11.19</v>
      </c>
      <c r="F190" t="n">
        <v>-16.51</v>
      </c>
      <c r="G190" t="n">
        <v>247.98</v>
      </c>
      <c r="H190" t="n">
        <v>0</v>
      </c>
      <c r="I190" t="n">
        <v>0</v>
      </c>
      <c r="J190" t="n">
        <v>0</v>
      </c>
    </row>
    <row r="191" hidden="1">
      <c r="B191" t="inlineStr">
        <is>
          <t>BASE</t>
        </is>
      </c>
      <c r="C191" t="n">
        <v>95</v>
      </c>
      <c r="D191" t="inlineStr">
        <is>
          <t>PD</t>
        </is>
      </c>
      <c r="E191" t="n">
        <v>4.17</v>
      </c>
      <c r="F191" t="n">
        <v>-26.62</v>
      </c>
      <c r="G191" t="n">
        <v>1389.69</v>
      </c>
      <c r="H191" t="n">
        <v>0</v>
      </c>
      <c r="I191" t="n">
        <v>0</v>
      </c>
      <c r="J191" t="n">
        <v>0</v>
      </c>
    </row>
    <row r="192" hidden="1">
      <c r="B192" t="inlineStr">
        <is>
          <t>BASE</t>
        </is>
      </c>
      <c r="C192" t="n">
        <v>95</v>
      </c>
      <c r="D192" t="inlineStr">
        <is>
          <t>PL</t>
        </is>
      </c>
      <c r="E192" t="n">
        <v>2.02</v>
      </c>
      <c r="F192" t="n">
        <v>-19.67</v>
      </c>
      <c r="G192" t="n">
        <v>249.8</v>
      </c>
      <c r="H192" t="n">
        <v>0</v>
      </c>
      <c r="I192" t="n">
        <v>0</v>
      </c>
      <c r="J192" t="n">
        <v>0</v>
      </c>
    </row>
    <row r="193" hidden="1">
      <c r="B193" t="inlineStr">
        <is>
          <t>BASE</t>
        </is>
      </c>
      <c r="C193" t="n">
        <v>96</v>
      </c>
      <c r="D193" t="inlineStr">
        <is>
          <t>PD</t>
        </is>
      </c>
      <c r="E193" t="n">
        <v>-1.25</v>
      </c>
      <c r="F193" t="n">
        <v>-33.19</v>
      </c>
      <c r="G193" t="n">
        <v>1371.1</v>
      </c>
      <c r="H193" t="n">
        <v>0</v>
      </c>
      <c r="I193" t="n">
        <v>0</v>
      </c>
      <c r="J193" t="n">
        <v>0</v>
      </c>
    </row>
    <row r="194" hidden="1">
      <c r="B194" t="inlineStr">
        <is>
          <t>BASE</t>
        </is>
      </c>
      <c r="C194" t="n">
        <v>96</v>
      </c>
      <c r="D194" t="inlineStr">
        <is>
          <t>PL</t>
        </is>
      </c>
      <c r="E194" t="n">
        <v>-0.68</v>
      </c>
      <c r="F194" t="n">
        <v>-20.35</v>
      </c>
      <c r="G194" t="n">
        <v>246.47</v>
      </c>
      <c r="H194" t="n">
        <v>0</v>
      </c>
      <c r="I194" t="n">
        <v>0</v>
      </c>
      <c r="J194" t="n">
        <v>0</v>
      </c>
    </row>
    <row r="195" hidden="1">
      <c r="B195" t="inlineStr">
        <is>
          <t>BASE</t>
        </is>
      </c>
      <c r="C195" t="n">
        <v>97</v>
      </c>
      <c r="D195" t="inlineStr">
        <is>
          <t>PD</t>
        </is>
      </c>
      <c r="E195" t="n">
        <v>-0.11</v>
      </c>
      <c r="F195" t="n">
        <v>-42.27</v>
      </c>
      <c r="G195" t="n">
        <v>1352.36</v>
      </c>
      <c r="H195" t="n">
        <v>0</v>
      </c>
      <c r="I195" t="n">
        <v>0</v>
      </c>
      <c r="J195" t="n">
        <v>0</v>
      </c>
    </row>
    <row r="196" hidden="1">
      <c r="B196" t="inlineStr">
        <is>
          <t>BASE</t>
        </is>
      </c>
      <c r="C196" t="n">
        <v>97</v>
      </c>
      <c r="D196" t="inlineStr">
        <is>
          <t>PL</t>
        </is>
      </c>
      <c r="E196" t="n">
        <v>-0.11</v>
      </c>
      <c r="F196" t="n">
        <v>-19.51</v>
      </c>
      <c r="G196" t="n">
        <v>241.55</v>
      </c>
      <c r="H196" t="n">
        <v>0</v>
      </c>
      <c r="I196" t="n">
        <v>0</v>
      </c>
      <c r="J196" t="n">
        <v>0</v>
      </c>
    </row>
    <row r="197" hidden="1">
      <c r="B197" t="inlineStr">
        <is>
          <t>BASE</t>
        </is>
      </c>
      <c r="C197" t="n">
        <v>98</v>
      </c>
      <c r="D197" t="inlineStr">
        <is>
          <t>PD</t>
        </is>
      </c>
      <c r="E197" t="n">
        <v>-0.28</v>
      </c>
      <c r="F197" t="n">
        <v>-52.69</v>
      </c>
      <c r="G197" t="n">
        <v>1332.14</v>
      </c>
      <c r="H197" t="n">
        <v>0</v>
      </c>
      <c r="I197" t="n">
        <v>0</v>
      </c>
      <c r="J197" t="n">
        <v>0</v>
      </c>
    </row>
    <row r="198" hidden="1">
      <c r="B198" t="inlineStr">
        <is>
          <t>BASE</t>
        </is>
      </c>
      <c r="C198" t="n">
        <v>98</v>
      </c>
      <c r="D198" t="inlineStr">
        <is>
          <t>PL</t>
        </is>
      </c>
      <c r="E198" t="n">
        <v>-0.19</v>
      </c>
      <c r="F198" t="n">
        <v>-17.79</v>
      </c>
      <c r="G198" t="n">
        <v>236.04</v>
      </c>
      <c r="H198" t="n">
        <v>0</v>
      </c>
      <c r="I198" t="n">
        <v>0</v>
      </c>
      <c r="J198" t="n">
        <v>0</v>
      </c>
    </row>
    <row r="199" hidden="1">
      <c r="B199" t="inlineStr">
        <is>
          <t>BASE</t>
        </is>
      </c>
      <c r="C199" t="n">
        <v>99</v>
      </c>
      <c r="D199" t="inlineStr">
        <is>
          <t>PD</t>
        </is>
      </c>
      <c r="E199" t="n">
        <v>-0.4</v>
      </c>
      <c r="F199" t="n">
        <v>-63.43</v>
      </c>
      <c r="G199" t="n">
        <v>1310.01</v>
      </c>
      <c r="H199" t="n">
        <v>0</v>
      </c>
      <c r="I199" t="n">
        <v>0</v>
      </c>
      <c r="J199" t="n">
        <v>0</v>
      </c>
    </row>
    <row r="200" hidden="1">
      <c r="B200" t="inlineStr">
        <is>
          <t>BASE</t>
        </is>
      </c>
      <c r="C200" t="n">
        <v>99</v>
      </c>
      <c r="D200" t="inlineStr">
        <is>
          <t>PL</t>
        </is>
      </c>
      <c r="E200" t="n">
        <v>-0.25</v>
      </c>
      <c r="F200" t="n">
        <v>-15.62</v>
      </c>
      <c r="G200" t="n">
        <v>230.53</v>
      </c>
      <c r="H200" t="n">
        <v>0</v>
      </c>
      <c r="I200" t="n">
        <v>0</v>
      </c>
      <c r="J200" t="n">
        <v>0</v>
      </c>
    </row>
    <row r="201" hidden="1">
      <c r="B201" t="inlineStr">
        <is>
          <t>BASE</t>
        </is>
      </c>
      <c r="C201" t="n">
        <v>100</v>
      </c>
      <c r="D201" t="inlineStr">
        <is>
          <t>PD</t>
        </is>
      </c>
      <c r="E201" t="n">
        <v>0.44</v>
      </c>
      <c r="F201" t="n">
        <v>-73.43000000000001</v>
      </c>
      <c r="G201" t="n">
        <v>1286.48</v>
      </c>
      <c r="H201" t="n">
        <v>0</v>
      </c>
      <c r="I201" t="n">
        <v>0</v>
      </c>
      <c r="J201" t="n">
        <v>0</v>
      </c>
    </row>
    <row r="202" hidden="1">
      <c r="B202" t="inlineStr">
        <is>
          <t>BASE</t>
        </is>
      </c>
      <c r="C202" t="n">
        <v>100</v>
      </c>
      <c r="D202" t="inlineStr">
        <is>
          <t>PL</t>
        </is>
      </c>
      <c r="E202" t="n">
        <v>0.21</v>
      </c>
      <c r="F202" t="n">
        <v>-13.29</v>
      </c>
      <c r="G202" t="n">
        <v>225.34</v>
      </c>
      <c r="H202" t="n">
        <v>0</v>
      </c>
      <c r="I202" t="n">
        <v>0</v>
      </c>
      <c r="J202" t="n">
        <v>0</v>
      </c>
    </row>
    <row r="203" hidden="1">
      <c r="B203" t="inlineStr">
        <is>
          <t>BASE</t>
        </is>
      </c>
      <c r="C203" t="n">
        <v>101</v>
      </c>
      <c r="D203" t="inlineStr">
        <is>
          <t>PD</t>
        </is>
      </c>
      <c r="E203" t="n">
        <v>-3.7</v>
      </c>
      <c r="F203" t="n">
        <v>-81.22</v>
      </c>
      <c r="G203" t="n">
        <v>1263.14</v>
      </c>
      <c r="H203" t="n">
        <v>0</v>
      </c>
      <c r="I203" t="n">
        <v>0</v>
      </c>
      <c r="J203" t="n">
        <v>0</v>
      </c>
    </row>
    <row r="204" hidden="1">
      <c r="B204" t="inlineStr">
        <is>
          <t>BASE</t>
        </is>
      </c>
      <c r="C204" t="n">
        <v>101</v>
      </c>
      <c r="D204" t="inlineStr">
        <is>
          <t>PL</t>
        </is>
      </c>
      <c r="E204" t="n">
        <v>-2.03</v>
      </c>
      <c r="F204" t="n">
        <v>-11.05</v>
      </c>
      <c r="G204" t="n">
        <v>220.52</v>
      </c>
      <c r="H204" t="n">
        <v>0</v>
      </c>
      <c r="I204" t="n">
        <v>0</v>
      </c>
      <c r="J204" t="n">
        <v>0</v>
      </c>
    </row>
    <row r="205" hidden="1">
      <c r="B205" t="inlineStr">
        <is>
          <t>BASE</t>
        </is>
      </c>
      <c r="C205" t="n">
        <v>102</v>
      </c>
      <c r="D205" t="inlineStr">
        <is>
          <t>PD</t>
        </is>
      </c>
      <c r="E205" t="n">
        <v>16.38</v>
      </c>
      <c r="F205" t="n">
        <v>-84.67</v>
      </c>
      <c r="G205" t="n">
        <v>1258.8</v>
      </c>
      <c r="H205" t="n">
        <v>0</v>
      </c>
      <c r="I205" t="n">
        <v>0</v>
      </c>
      <c r="J205" t="n">
        <v>0</v>
      </c>
    </row>
    <row r="206" hidden="1">
      <c r="B206" t="inlineStr">
        <is>
          <t>BASE</t>
        </is>
      </c>
      <c r="C206" t="n">
        <v>102</v>
      </c>
      <c r="D206" t="inlineStr">
        <is>
          <t>PL</t>
        </is>
      </c>
      <c r="E206" t="n">
        <v>8.91</v>
      </c>
      <c r="F206" t="n">
        <v>-9.130000000000001</v>
      </c>
      <c r="G206" t="n">
        <v>217.59</v>
      </c>
      <c r="H206" t="n">
        <v>0</v>
      </c>
      <c r="I206" t="n">
        <v>0</v>
      </c>
      <c r="J206" t="n">
        <v>0</v>
      </c>
    </row>
    <row r="207" hidden="1">
      <c r="B207" t="inlineStr">
        <is>
          <t>BASE</t>
        </is>
      </c>
      <c r="C207" t="n">
        <v>303</v>
      </c>
      <c r="D207" t="inlineStr">
        <is>
          <t>PD</t>
        </is>
      </c>
      <c r="E207" t="n">
        <v>0</v>
      </c>
      <c r="F207" t="n">
        <v>0.05</v>
      </c>
      <c r="G207" t="n">
        <v>23723.61</v>
      </c>
      <c r="H207" t="n">
        <v>-0.223</v>
      </c>
      <c r="I207" t="n">
        <v>0</v>
      </c>
      <c r="J207" t="n">
        <v>0</v>
      </c>
    </row>
    <row r="208" hidden="1">
      <c r="B208" t="inlineStr">
        <is>
          <t>BASE</t>
        </is>
      </c>
      <c r="C208" t="n">
        <v>303</v>
      </c>
      <c r="D208" t="inlineStr">
        <is>
          <t>PL</t>
        </is>
      </c>
      <c r="E208" t="n">
        <v>0</v>
      </c>
      <c r="F208" t="n">
        <v>0</v>
      </c>
      <c r="G208" t="n">
        <v>5730.34</v>
      </c>
      <c r="H208" t="n">
        <v>0.073</v>
      </c>
      <c r="I208" t="n">
        <v>0</v>
      </c>
      <c r="J208" t="n">
        <v>0</v>
      </c>
    </row>
    <row r="209">
      <c r="B209" t="inlineStr">
        <is>
          <t>BASE</t>
        </is>
      </c>
      <c r="C209" t="n">
        <v>304</v>
      </c>
      <c r="D209" t="inlineStr">
        <is>
          <t>PD</t>
        </is>
      </c>
      <c r="E209" t="n">
        <v>0</v>
      </c>
      <c r="F209" t="n">
        <v>0.05</v>
      </c>
      <c r="G209" t="n">
        <v>33953.35</v>
      </c>
      <c r="H209" t="n">
        <v>-0.223</v>
      </c>
      <c r="I209" t="n">
        <v>0</v>
      </c>
      <c r="J209" t="n">
        <v>0</v>
      </c>
    </row>
    <row r="210">
      <c r="B210" t="inlineStr">
        <is>
          <t>BASE</t>
        </is>
      </c>
      <c r="C210" t="n">
        <v>304</v>
      </c>
      <c r="D210" t="inlineStr">
        <is>
          <t>PL</t>
        </is>
      </c>
      <c r="E210" t="n">
        <v>0</v>
      </c>
      <c r="F210" t="n">
        <v>0</v>
      </c>
      <c r="G210" t="n">
        <v>10100.76</v>
      </c>
      <c r="H210" t="n">
        <v>0.073</v>
      </c>
      <c r="I210" t="n">
        <v>0</v>
      </c>
      <c r="J210" t="n">
        <v>0</v>
      </c>
    </row>
  </sheetData>
  <autoFilter ref="B2:J210">
    <filterColumn colId="1" hiddenButton="0" showButton="1">
      <filters>
        <filter val="304"/>
      </filters>
    </filterColumn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5" activeCellId="1" sqref="A23:XFD23 A15:XFD15"/>
    </sheetView>
  </sheetViews>
  <sheetFormatPr baseColWidth="10" defaultRowHeight="15"/>
  <sheetData>
    <row r="1"/>
    <row r="2"/>
    <row r="3">
      <c r="B3" t="inlineStr">
        <is>
          <t>Story</t>
        </is>
      </c>
      <c r="C3" t="inlineStr">
        <is>
          <t>ElementType</t>
        </is>
      </c>
      <c r="D3" t="inlineStr">
        <is>
          <t>Material</t>
        </is>
      </c>
      <c r="E3" t="inlineStr">
        <is>
          <t>TotalWeight</t>
        </is>
      </c>
      <c r="F3" t="inlineStr">
        <is>
          <t>FloorArea</t>
        </is>
      </c>
      <c r="G3" t="inlineStr">
        <is>
          <t>UnitWeight</t>
        </is>
      </c>
      <c r="H3" t="inlineStr">
        <is>
          <t>NumPieces</t>
        </is>
      </c>
      <c r="I3" t="inlineStr">
        <is>
          <t>NumStuds</t>
        </is>
      </c>
    </row>
    <row r="4">
      <c r="B4" t="inlineStr">
        <is>
          <t>ROOF</t>
        </is>
      </c>
      <c r="C4" t="inlineStr">
        <is>
          <t>Column</t>
        </is>
      </c>
      <c r="D4" t="inlineStr">
        <is>
          <t>FC280</t>
        </is>
      </c>
      <c r="E4" t="n">
        <v>123706.8</v>
      </c>
      <c r="F4" t="n">
        <v>8954369.607000001</v>
      </c>
      <c r="G4" t="n">
        <v>0.0138</v>
      </c>
      <c r="H4" t="n">
        <v>31</v>
      </c>
    </row>
    <row r="5">
      <c r="B5" t="inlineStr">
        <is>
          <t>ROOF</t>
        </is>
      </c>
      <c r="C5" t="inlineStr">
        <is>
          <t>Beam</t>
        </is>
      </c>
      <c r="D5" t="inlineStr">
        <is>
          <t>FC280</t>
        </is>
      </c>
      <c r="E5" t="n">
        <v>52759.887</v>
      </c>
      <c r="F5" t="n">
        <v>8954369.607000001</v>
      </c>
      <c r="G5" t="n">
        <v>0.0059</v>
      </c>
      <c r="H5" t="n">
        <v>25</v>
      </c>
      <c r="I5" t="n">
        <v>0</v>
      </c>
    </row>
    <row r="6">
      <c r="B6" t="inlineStr">
        <is>
          <t>ROOF</t>
        </is>
      </c>
      <c r="C6" t="inlineStr">
        <is>
          <t>Wall</t>
        </is>
      </c>
      <c r="D6" t="inlineStr">
        <is>
          <t>FC280</t>
        </is>
      </c>
      <c r="E6" t="n">
        <v>99066.952</v>
      </c>
      <c r="F6" t="n">
        <v>8954369.607000001</v>
      </c>
      <c r="G6" t="n">
        <v>0.0111</v>
      </c>
    </row>
    <row r="7">
      <c r="B7" t="inlineStr">
        <is>
          <t>ROOF</t>
        </is>
      </c>
      <c r="C7" t="inlineStr">
        <is>
          <t>Floor</t>
        </is>
      </c>
      <c r="D7" t="inlineStr">
        <is>
          <t>FC280</t>
        </is>
      </c>
      <c r="E7" t="n">
        <v>456672.85</v>
      </c>
      <c r="F7" t="n">
        <v>8954369.607000001</v>
      </c>
      <c r="G7" t="n">
        <v>0.051</v>
      </c>
    </row>
    <row r="8">
      <c r="B8" t="inlineStr">
        <is>
          <t>STORY4</t>
        </is>
      </c>
      <c r="C8" t="inlineStr">
        <is>
          <t>Column</t>
        </is>
      </c>
      <c r="D8" t="inlineStr">
        <is>
          <t>FC280</t>
        </is>
      </c>
      <c r="E8" t="n">
        <v>257443.2</v>
      </c>
      <c r="F8" t="n">
        <v>24043612.687</v>
      </c>
      <c r="G8" t="n">
        <v>0.0107</v>
      </c>
      <c r="H8" t="n">
        <v>69</v>
      </c>
    </row>
    <row r="9">
      <c r="B9" t="inlineStr">
        <is>
          <t>STORY4</t>
        </is>
      </c>
      <c r="C9" t="inlineStr">
        <is>
          <t>Beam</t>
        </is>
      </c>
      <c r="D9" t="inlineStr">
        <is>
          <t>FC280</t>
        </is>
      </c>
      <c r="E9" t="n">
        <v>106352.018</v>
      </c>
      <c r="F9" t="n">
        <v>24043612.687</v>
      </c>
      <c r="G9" t="n">
        <v>0.0044</v>
      </c>
      <c r="H9" t="n">
        <v>50</v>
      </c>
      <c r="I9" t="n">
        <v>0</v>
      </c>
    </row>
    <row r="10">
      <c r="B10" t="inlineStr">
        <is>
          <t>STORY4</t>
        </is>
      </c>
      <c r="C10" t="inlineStr">
        <is>
          <t>Wall</t>
        </is>
      </c>
      <c r="D10" t="inlineStr">
        <is>
          <t>FC280</t>
        </is>
      </c>
      <c r="E10" t="n">
        <v>318875.886</v>
      </c>
      <c r="F10" t="n">
        <v>24043612.687</v>
      </c>
      <c r="G10" t="n">
        <v>0.0133</v>
      </c>
    </row>
    <row r="11">
      <c r="B11" t="inlineStr">
        <is>
          <t>STORY4</t>
        </is>
      </c>
      <c r="C11" t="inlineStr">
        <is>
          <t>Floor</t>
        </is>
      </c>
      <c r="D11" t="inlineStr">
        <is>
          <t>FC280</t>
        </is>
      </c>
      <c r="E11" t="n">
        <v>1226224.247</v>
      </c>
      <c r="F11" t="n">
        <v>24043612.687</v>
      </c>
      <c r="G11" t="n">
        <v>0.051</v>
      </c>
    </row>
    <row r="12">
      <c r="B12" t="inlineStr">
        <is>
          <t>STORY3</t>
        </is>
      </c>
      <c r="C12" t="inlineStr">
        <is>
          <t>Column</t>
        </is>
      </c>
      <c r="D12" t="inlineStr">
        <is>
          <t>FC280</t>
        </is>
      </c>
      <c r="E12" t="n">
        <v>257443.2</v>
      </c>
      <c r="F12" t="n">
        <v>23484946.549</v>
      </c>
      <c r="G12" t="n">
        <v>0.011</v>
      </c>
      <c r="H12" t="n">
        <v>69</v>
      </c>
    </row>
    <row r="13">
      <c r="B13" t="inlineStr">
        <is>
          <t>STORY3</t>
        </is>
      </c>
      <c r="C13" t="inlineStr">
        <is>
          <t>Beam</t>
        </is>
      </c>
      <c r="D13" t="inlineStr">
        <is>
          <t>FC280</t>
        </is>
      </c>
      <c r="E13" t="n">
        <v>109224.818</v>
      </c>
      <c r="F13" t="n">
        <v>23484946.549</v>
      </c>
      <c r="G13" t="n">
        <v>0.0047</v>
      </c>
      <c r="H13" t="n">
        <v>51</v>
      </c>
      <c r="I13" t="n">
        <v>0</v>
      </c>
    </row>
    <row r="14">
      <c r="B14" t="inlineStr">
        <is>
          <t>STORY3</t>
        </is>
      </c>
      <c r="C14" t="inlineStr">
        <is>
          <t>Wall</t>
        </is>
      </c>
      <c r="D14" t="inlineStr">
        <is>
          <t>FC280</t>
        </is>
      </c>
      <c r="E14" t="n">
        <v>318875.886</v>
      </c>
      <c r="F14" t="n">
        <v>23484946.549</v>
      </c>
      <c r="G14" t="n">
        <v>0.0136</v>
      </c>
    </row>
    <row r="15">
      <c r="B15" t="inlineStr">
        <is>
          <t>STORY3</t>
        </is>
      </c>
      <c r="C15" t="inlineStr">
        <is>
          <t>Floor</t>
        </is>
      </c>
      <c r="D15" t="inlineStr">
        <is>
          <t>FC280</t>
        </is>
      </c>
      <c r="E15" t="n">
        <v>1197732.274</v>
      </c>
      <c r="F15" t="n">
        <v>23484946.549</v>
      </c>
      <c r="G15" t="n">
        <v>0.051</v>
      </c>
    </row>
    <row r="16">
      <c r="B16" t="inlineStr">
        <is>
          <t>STORY2</t>
        </is>
      </c>
      <c r="C16" t="inlineStr">
        <is>
          <t>Column</t>
        </is>
      </c>
      <c r="D16" t="inlineStr">
        <is>
          <t>FC280</t>
        </is>
      </c>
      <c r="E16" t="n">
        <v>257443.2</v>
      </c>
      <c r="F16" t="n">
        <v>23394961.549</v>
      </c>
      <c r="G16" t="n">
        <v>0.011</v>
      </c>
      <c r="H16" t="n">
        <v>69</v>
      </c>
    </row>
    <row r="17">
      <c r="B17" t="inlineStr">
        <is>
          <t>STORY2</t>
        </is>
      </c>
      <c r="C17" t="inlineStr">
        <is>
          <t>Beam</t>
        </is>
      </c>
      <c r="D17" t="inlineStr">
        <is>
          <t>FC280</t>
        </is>
      </c>
      <c r="E17" t="n">
        <v>112545.138</v>
      </c>
      <c r="F17" t="n">
        <v>23394961.549</v>
      </c>
      <c r="G17" t="n">
        <v>0.0048</v>
      </c>
      <c r="H17" t="n">
        <v>53</v>
      </c>
      <c r="I17" t="n">
        <v>0</v>
      </c>
    </row>
    <row r="18">
      <c r="B18" t="inlineStr">
        <is>
          <t>STORY2</t>
        </is>
      </c>
      <c r="C18" t="inlineStr">
        <is>
          <t>Wall</t>
        </is>
      </c>
      <c r="D18" t="inlineStr">
        <is>
          <t>FC280</t>
        </is>
      </c>
      <c r="E18" t="n">
        <v>318875.886</v>
      </c>
      <c r="F18" t="n">
        <v>23394961.549</v>
      </c>
      <c r="G18" t="n">
        <v>0.0136</v>
      </c>
    </row>
    <row r="19">
      <c r="B19" t="inlineStr">
        <is>
          <t>STORY2</t>
        </is>
      </c>
      <c r="C19" t="inlineStr">
        <is>
          <t>Floor</t>
        </is>
      </c>
      <c r="D19" t="inlineStr">
        <is>
          <t>FC280</t>
        </is>
      </c>
      <c r="E19" t="n">
        <v>1193143.039</v>
      </c>
      <c r="F19" t="n">
        <v>23394961.549</v>
      </c>
      <c r="G19" t="n">
        <v>0.051</v>
      </c>
    </row>
    <row r="20">
      <c r="B20" t="inlineStr">
        <is>
          <t>BASEMENT</t>
        </is>
      </c>
      <c r="C20" t="inlineStr">
        <is>
          <t>Column</t>
        </is>
      </c>
      <c r="D20" t="inlineStr">
        <is>
          <t>FC280</t>
        </is>
      </c>
      <c r="E20" t="n">
        <v>257443.2</v>
      </c>
      <c r="F20" t="n">
        <v>20665718.41</v>
      </c>
      <c r="G20" t="n">
        <v>0.0125</v>
      </c>
      <c r="H20" t="n">
        <v>69</v>
      </c>
    </row>
    <row r="21">
      <c r="B21" t="inlineStr">
        <is>
          <t>BASEMENT</t>
        </is>
      </c>
      <c r="C21" t="inlineStr">
        <is>
          <t>Beam</t>
        </is>
      </c>
      <c r="D21" t="inlineStr">
        <is>
          <t>FC280</t>
        </is>
      </c>
      <c r="E21" t="n">
        <v>115394.222</v>
      </c>
      <c r="F21" t="n">
        <v>20665718.41</v>
      </c>
      <c r="G21" t="n">
        <v>0.0056</v>
      </c>
      <c r="H21" t="n">
        <v>52</v>
      </c>
      <c r="I21" t="n">
        <v>0</v>
      </c>
    </row>
    <row r="22">
      <c r="B22" t="inlineStr">
        <is>
          <t>BASEMENT</t>
        </is>
      </c>
      <c r="C22" t="inlineStr">
        <is>
          <t>Wall</t>
        </is>
      </c>
      <c r="D22" t="inlineStr">
        <is>
          <t>FC280</t>
        </is>
      </c>
      <c r="E22" t="n">
        <v>318875.886</v>
      </c>
      <c r="F22" t="n">
        <v>20665718.41</v>
      </c>
      <c r="G22" t="n">
        <v>0.0154</v>
      </c>
    </row>
    <row r="23">
      <c r="B23" t="inlineStr">
        <is>
          <t>BASEMENT</t>
        </is>
      </c>
      <c r="C23" t="inlineStr">
        <is>
          <t>Floor</t>
        </is>
      </c>
      <c r="D23" t="inlineStr">
        <is>
          <t>FC280</t>
        </is>
      </c>
      <c r="E23" t="n">
        <v>1053951.639</v>
      </c>
      <c r="F23" t="n">
        <v>20665718.41</v>
      </c>
      <c r="G23" t="n">
        <v>0.051</v>
      </c>
    </row>
    <row r="24">
      <c r="B24" t="inlineStr">
        <is>
          <t>SUM</t>
        </is>
      </c>
      <c r="C24" t="inlineStr">
        <is>
          <t>Column</t>
        </is>
      </c>
      <c r="D24" t="inlineStr">
        <is>
          <t>FC280</t>
        </is>
      </c>
      <c r="E24" t="n">
        <v>1153479.6</v>
      </c>
      <c r="F24" t="n">
        <v>100543608.8</v>
      </c>
      <c r="G24" t="n">
        <v>0.0115</v>
      </c>
      <c r="H24" t="n">
        <v>307</v>
      </c>
    </row>
    <row r="25">
      <c r="B25" t="inlineStr">
        <is>
          <t>SUM</t>
        </is>
      </c>
      <c r="C25" t="inlineStr">
        <is>
          <t>Beam</t>
        </is>
      </c>
      <c r="D25" t="inlineStr">
        <is>
          <t>FC280</t>
        </is>
      </c>
      <c r="E25" t="n">
        <v>496276.082</v>
      </c>
      <c r="F25" t="n">
        <v>100543608.8</v>
      </c>
      <c r="G25" t="n">
        <v>0.0049</v>
      </c>
      <c r="H25" t="n">
        <v>231</v>
      </c>
      <c r="I25" t="n">
        <v>0</v>
      </c>
    </row>
    <row r="26">
      <c r="B26" t="inlineStr">
        <is>
          <t>SUM</t>
        </is>
      </c>
      <c r="C26" t="inlineStr">
        <is>
          <t>Wall</t>
        </is>
      </c>
      <c r="D26" t="inlineStr">
        <is>
          <t>FC280</t>
        </is>
      </c>
      <c r="E26" t="n">
        <v>1374570.496</v>
      </c>
      <c r="F26" t="n">
        <v>100543608.8</v>
      </c>
      <c r="G26" t="n">
        <v>0.0137</v>
      </c>
    </row>
    <row r="27">
      <c r="B27" t="inlineStr">
        <is>
          <t>SUM</t>
        </is>
      </c>
      <c r="C27" t="inlineStr">
        <is>
          <t>Floor</t>
        </is>
      </c>
      <c r="D27" t="inlineStr">
        <is>
          <t>FC280</t>
        </is>
      </c>
      <c r="E27" t="n">
        <v>5127724.049</v>
      </c>
      <c r="F27" t="n">
        <v>100543608.8</v>
      </c>
      <c r="G27" t="n">
        <v>0.051</v>
      </c>
    </row>
    <row r="28">
      <c r="B28" t="inlineStr">
        <is>
          <t>TOTAL</t>
        </is>
      </c>
      <c r="C28" t="inlineStr">
        <is>
          <t>All</t>
        </is>
      </c>
      <c r="D28" t="inlineStr">
        <is>
          <t>All</t>
        </is>
      </c>
      <c r="E28" t="n">
        <v>8152050.227</v>
      </c>
      <c r="F28" t="n">
        <v>100543608.8</v>
      </c>
      <c r="G28" t="n">
        <v>0.08110000000000001</v>
      </c>
      <c r="H28" t="n">
        <v>538</v>
      </c>
      <c r="I28" t="n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SAHEP PERÚ</dc:creator>
  <dc:title xmlns:dc="http://purl.org/dc/elements/1.1/">Zapata aislada y combinada — revisión preliminar CivilGeeks</dc:title>
  <dc:description xmlns:dc="http://purl.org/dc/elements/1.1/">Se añadió una hoja de revisión. Los cálculos originales no han sido certificados ni modificados.</dc:description>
  <dc:subject xmlns:dc="http://purl.org/dc/elements/1.1/">Revisión editorial y advertencias de uso; fórmulas originales conservadas</dc:subject>
  <dcterms:created xmlns:dcterms="http://purl.org/dc/terms/" xmlns:xsi="http://www.w3.org/2001/XMLSchema-instance" xsi:type="dcterms:W3CDTF">2012-04-09T14:55:58Z</dcterms:created>
  <dcterms:modified xmlns:dcterms="http://purl.org/dc/terms/" xmlns:xsi="http://www.w3.org/2001/XMLSchema-instance" xsi:type="dcterms:W3CDTF">2026-10-12T14:49:48Z</dcterms:modified>
  <cp:lastModifiedBy>Alex Henrry Palomino Encinas</cp:lastModifiedBy>
  <cp:lastPrinted>2012-06-10T00:27:11Z</cp:lastPrinted>
</cp:coreProperties>
</file>